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963A8B4C-7A78-4B3B-BCB7-07CA6B4CD268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BASE!$G$8:$G$104</definedName>
    <definedName name="_xlnm._FilterDatabase" localSheetId="6" hidden="1">'SEG. PUBLICA'!$F$1:$F$51</definedName>
    <definedName name="_xlnm.Print_Area" localSheetId="5">'Apoyos '!$A$32:$AK$61</definedName>
    <definedName name="_xlnm.Print_Area" localSheetId="2">BASE!$B$1:$N$97</definedName>
    <definedName name="_xlnm.Print_Area" localSheetId="4">PENSIONADOS!$B$1:$AK$36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PUBLICA'!$B$1:$N$39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206" l="1"/>
  <c r="L43" i="206" s="1"/>
  <c r="I43" i="206"/>
  <c r="J43" i="206" l="1"/>
  <c r="M43" i="206" l="1"/>
  <c r="K90" i="206"/>
  <c r="L90" i="206" s="1"/>
  <c r="I90" i="206"/>
  <c r="J90" i="206" s="1"/>
  <c r="R23" i="214"/>
  <c r="K23" i="214"/>
  <c r="I23" i="214"/>
  <c r="P23" i="214" l="1"/>
  <c r="M90" i="206"/>
  <c r="S23" i="214"/>
  <c r="U23" i="214" s="1"/>
  <c r="W23" i="214" s="1"/>
  <c r="Y23" i="214" s="1"/>
  <c r="AA23" i="214" s="1"/>
  <c r="AD23" i="214" s="1"/>
  <c r="AI23" i="214" s="1"/>
  <c r="I34" i="216"/>
  <c r="J34" i="216" s="1"/>
  <c r="I88" i="205"/>
  <c r="K88" i="205" s="1"/>
  <c r="L88" i="205" s="1"/>
  <c r="AJ23" i="214" l="1"/>
  <c r="K34" i="216"/>
  <c r="L34" i="216" s="1"/>
  <c r="M34" i="216" s="1"/>
  <c r="J88" i="205"/>
  <c r="M88" i="205" s="1"/>
  <c r="K59" i="206" l="1"/>
  <c r="L59" i="206" s="1"/>
  <c r="I59" i="206"/>
  <c r="J59" i="206" s="1"/>
  <c r="K42" i="206"/>
  <c r="L42" i="206" s="1"/>
  <c r="I42" i="206"/>
  <c r="K34" i="206"/>
  <c r="L34" i="206" s="1"/>
  <c r="I34" i="206"/>
  <c r="K113" i="206"/>
  <c r="L113" i="206" s="1"/>
  <c r="I113" i="206"/>
  <c r="J113" i="206" s="1"/>
  <c r="M59" i="206" l="1"/>
  <c r="J42" i="206"/>
  <c r="M42" i="206" s="1"/>
  <c r="J34" i="206"/>
  <c r="M113" i="206"/>
  <c r="M34" i="206" l="1"/>
  <c r="L20" i="215" l="1"/>
  <c r="I33" i="216"/>
  <c r="J33" i="216" s="1"/>
  <c r="I32" i="216"/>
  <c r="K32" i="216" s="1"/>
  <c r="L32" i="216" s="1"/>
  <c r="K61" i="206"/>
  <c r="I61" i="206"/>
  <c r="N97" i="205"/>
  <c r="K33" i="216" l="1"/>
  <c r="L33" i="216" s="1"/>
  <c r="M33" i="216" s="1"/>
  <c r="J32" i="216"/>
  <c r="M32" i="216" s="1"/>
  <c r="J61" i="206"/>
  <c r="M61" i="206" s="1"/>
  <c r="I31" i="216"/>
  <c r="K31" i="216" s="1"/>
  <c r="L31" i="216" s="1"/>
  <c r="I12" i="217"/>
  <c r="I17" i="206"/>
  <c r="J17" i="206" s="1"/>
  <c r="N44" i="206"/>
  <c r="I24" i="217"/>
  <c r="K41" i="206"/>
  <c r="L41" i="206" s="1"/>
  <c r="I41" i="206"/>
  <c r="I12" i="215"/>
  <c r="K12" i="215" s="1"/>
  <c r="M12" i="215" s="1"/>
  <c r="N12" i="215" s="1"/>
  <c r="J31" i="216" l="1"/>
  <c r="M31" i="216" s="1"/>
  <c r="K12" i="217"/>
  <c r="L12" i="217" s="1"/>
  <c r="K17" i="206"/>
  <c r="L17" i="206" s="1"/>
  <c r="M17" i="206" s="1"/>
  <c r="J41" i="206"/>
  <c r="M41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5" i="216"/>
  <c r="I25" i="217"/>
  <c r="I26" i="217"/>
  <c r="I27" i="217"/>
  <c r="I28" i="217"/>
  <c r="I29" i="217"/>
  <c r="I17" i="214"/>
  <c r="I18" i="214"/>
  <c r="I19" i="214"/>
  <c r="I20" i="214"/>
  <c r="I21" i="214"/>
  <c r="I22" i="214"/>
  <c r="I16" i="214"/>
  <c r="I134" i="206"/>
  <c r="I135" i="206"/>
  <c r="I136" i="206"/>
  <c r="I133" i="206"/>
  <c r="I112" i="206"/>
  <c r="I114" i="206"/>
  <c r="I115" i="206"/>
  <c r="I116" i="206"/>
  <c r="I117" i="206"/>
  <c r="I118" i="206"/>
  <c r="I119" i="206"/>
  <c r="I120" i="206"/>
  <c r="I121" i="206"/>
  <c r="I122" i="206"/>
  <c r="I58" i="206"/>
  <c r="I53" i="205"/>
  <c r="I50" i="205"/>
  <c r="I47" i="205"/>
  <c r="I46" i="205"/>
  <c r="I48" i="205" s="1"/>
  <c r="I43" i="205"/>
  <c r="I42" i="205"/>
  <c r="I44" i="205" s="1"/>
  <c r="I39" i="205"/>
  <c r="I40" i="205" s="1"/>
  <c r="I35" i="205"/>
  <c r="I36" i="205"/>
  <c r="I34" i="205"/>
  <c r="I37" i="205" s="1"/>
  <c r="I31" i="205"/>
  <c r="I30" i="205"/>
  <c r="I32" i="205" s="1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28" i="205" l="1"/>
  <c r="I25" i="214"/>
  <c r="I21" i="205"/>
  <c r="I137" i="206"/>
  <c r="M12" i="217"/>
  <c r="I9" i="205"/>
  <c r="I14" i="205" s="1"/>
  <c r="J13" i="205"/>
  <c r="K13" i="205" l="1"/>
  <c r="L13" i="205" s="1"/>
  <c r="M13" i="205" s="1"/>
  <c r="K9" i="205"/>
  <c r="J9" i="205"/>
  <c r="K25" i="217" l="1"/>
  <c r="K35" i="216"/>
  <c r="K16" i="216"/>
  <c r="K136" i="206"/>
  <c r="K135" i="206"/>
  <c r="K134" i="206"/>
  <c r="K133" i="206"/>
  <c r="K130" i="206"/>
  <c r="K129" i="206"/>
  <c r="K128" i="206"/>
  <c r="K126" i="206"/>
  <c r="K125" i="206"/>
  <c r="K122" i="206"/>
  <c r="K121" i="206"/>
  <c r="K120" i="206"/>
  <c r="K119" i="206"/>
  <c r="K118" i="206"/>
  <c r="K117" i="206"/>
  <c r="K116" i="206"/>
  <c r="K115" i="206"/>
  <c r="K114" i="206"/>
  <c r="K112" i="206"/>
  <c r="K111" i="206"/>
  <c r="K110" i="206"/>
  <c r="K109" i="206"/>
  <c r="K105" i="206"/>
  <c r="K104" i="206"/>
  <c r="K103" i="206"/>
  <c r="K102" i="206"/>
  <c r="K101" i="206"/>
  <c r="K100" i="206"/>
  <c r="K99" i="206"/>
  <c r="K98" i="206"/>
  <c r="K97" i="206"/>
  <c r="K95" i="206"/>
  <c r="K94" i="206"/>
  <c r="K93" i="206"/>
  <c r="K89" i="206"/>
  <c r="K88" i="206"/>
  <c r="K87" i="206"/>
  <c r="K86" i="206"/>
  <c r="K85" i="206"/>
  <c r="K82" i="206"/>
  <c r="K75" i="206"/>
  <c r="K74" i="206"/>
  <c r="K73" i="206"/>
  <c r="K72" i="206"/>
  <c r="K71" i="206"/>
  <c r="K70" i="206"/>
  <c r="K65" i="206"/>
  <c r="K64" i="206"/>
  <c r="K60" i="206"/>
  <c r="K58" i="206"/>
  <c r="K57" i="206"/>
  <c r="K56" i="206"/>
  <c r="K55" i="206"/>
  <c r="K54" i="206"/>
  <c r="K53" i="206"/>
  <c r="K52" i="206"/>
  <c r="K51" i="206"/>
  <c r="K50" i="206"/>
  <c r="K49" i="206"/>
  <c r="K48" i="206"/>
  <c r="K47" i="206"/>
  <c r="K46" i="206"/>
  <c r="K40" i="206"/>
  <c r="K39" i="206"/>
  <c r="K38" i="206"/>
  <c r="K37" i="206"/>
  <c r="K32" i="206"/>
  <c r="K31" i="206"/>
  <c r="K30" i="206"/>
  <c r="K15" i="206"/>
  <c r="K14" i="206"/>
  <c r="K12" i="206"/>
  <c r="K11" i="206"/>
  <c r="K10" i="205"/>
  <c r="K83" i="205"/>
  <c r="K82" i="205"/>
  <c r="K73" i="205"/>
  <c r="K69" i="205"/>
  <c r="K68" i="205"/>
  <c r="K60" i="205"/>
  <c r="K58" i="205"/>
  <c r="K53" i="205"/>
  <c r="K47" i="205"/>
  <c r="K43" i="205"/>
  <c r="K35" i="205"/>
  <c r="K31" i="205"/>
  <c r="K27" i="205"/>
  <c r="K26" i="205"/>
  <c r="K25" i="205"/>
  <c r="K16" i="205"/>
  <c r="K12" i="205"/>
  <c r="K44" i="206" l="1"/>
  <c r="K91" i="206"/>
  <c r="J10" i="205"/>
  <c r="L10" i="205"/>
  <c r="K29" i="217"/>
  <c r="L29" i="217" s="1"/>
  <c r="K27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K8" i="217" s="1"/>
  <c r="L35" i="216"/>
  <c r="J35" i="216"/>
  <c r="J16" i="216"/>
  <c r="I8" i="216"/>
  <c r="I37" i="216" s="1"/>
  <c r="J14" i="217" l="1"/>
  <c r="J22" i="217"/>
  <c r="J23" i="217"/>
  <c r="M23" i="217" s="1"/>
  <c r="K28" i="217"/>
  <c r="L28" i="217" s="1"/>
  <c r="K26" i="217"/>
  <c r="L26" i="217" s="1"/>
  <c r="J21" i="217"/>
  <c r="K21" i="217"/>
  <c r="L21" i="217" s="1"/>
  <c r="J13" i="217"/>
  <c r="K13" i="217"/>
  <c r="K18" i="217"/>
  <c r="L18" i="217" s="1"/>
  <c r="K20" i="217"/>
  <c r="L20" i="217" s="1"/>
  <c r="J15" i="217"/>
  <c r="K17" i="217"/>
  <c r="L17" i="217" s="1"/>
  <c r="K11" i="217"/>
  <c r="L11" i="217" s="1"/>
  <c r="K9" i="217"/>
  <c r="L9" i="217" s="1"/>
  <c r="J25" i="216"/>
  <c r="K25" i="216"/>
  <c r="L25" i="216" s="1"/>
  <c r="J27" i="216"/>
  <c r="K27" i="216"/>
  <c r="L27" i="216" s="1"/>
  <c r="J28" i="216"/>
  <c r="K28" i="216"/>
  <c r="L28" i="216" s="1"/>
  <c r="J30" i="216"/>
  <c r="K30" i="216"/>
  <c r="L30" i="216" s="1"/>
  <c r="J26" i="216"/>
  <c r="K26" i="216"/>
  <c r="L26" i="216" s="1"/>
  <c r="J29" i="216"/>
  <c r="K29" i="216"/>
  <c r="L29" i="216" s="1"/>
  <c r="J24" i="216"/>
  <c r="K24" i="216"/>
  <c r="L24" i="216" s="1"/>
  <c r="J23" i="216"/>
  <c r="K23" i="216"/>
  <c r="L23" i="216" s="1"/>
  <c r="K22" i="216"/>
  <c r="L22" i="216" s="1"/>
  <c r="J22" i="216"/>
  <c r="K21" i="216"/>
  <c r="L21" i="216" s="1"/>
  <c r="J21" i="216"/>
  <c r="J20" i="216"/>
  <c r="K20" i="216"/>
  <c r="L20" i="216" s="1"/>
  <c r="K19" i="216"/>
  <c r="L19" i="216" s="1"/>
  <c r="J19" i="216"/>
  <c r="K18" i="216"/>
  <c r="L18" i="216" s="1"/>
  <c r="J18" i="216"/>
  <c r="J17" i="216"/>
  <c r="K17" i="216"/>
  <c r="L17" i="216" s="1"/>
  <c r="K15" i="216"/>
  <c r="L15" i="216" s="1"/>
  <c r="J15" i="216"/>
  <c r="K14" i="216"/>
  <c r="L14" i="216" s="1"/>
  <c r="J14" i="216"/>
  <c r="K13" i="216"/>
  <c r="L13" i="216" s="1"/>
  <c r="J13" i="216"/>
  <c r="J12" i="216"/>
  <c r="K12" i="216"/>
  <c r="L12" i="216" s="1"/>
  <c r="M12" i="216" s="1"/>
  <c r="K11" i="216"/>
  <c r="L11" i="216" s="1"/>
  <c r="J11" i="216"/>
  <c r="J10" i="216"/>
  <c r="K10" i="216"/>
  <c r="L10" i="216" s="1"/>
  <c r="K9" i="216"/>
  <c r="L9" i="216" s="1"/>
  <c r="J9" i="216"/>
  <c r="K8" i="216"/>
  <c r="J8" i="216"/>
  <c r="I31" i="217"/>
  <c r="M35" i="216"/>
  <c r="M10" i="205"/>
  <c r="M8" i="217"/>
  <c r="L13" i="217"/>
  <c r="J17" i="217"/>
  <c r="M17" i="217" s="1"/>
  <c r="J26" i="217"/>
  <c r="M26" i="217" s="1"/>
  <c r="J18" i="217"/>
  <c r="M29" i="217"/>
  <c r="M14" i="217"/>
  <c r="M22" i="217"/>
  <c r="L15" i="217"/>
  <c r="M15" i="217"/>
  <c r="L23" i="217"/>
  <c r="L8" i="217"/>
  <c r="J27" i="217"/>
  <c r="L10" i="217"/>
  <c r="J16" i="217"/>
  <c r="L19" i="217"/>
  <c r="J24" i="217"/>
  <c r="L27" i="217"/>
  <c r="J19" i="217"/>
  <c r="L16" i="217"/>
  <c r="L24" i="217"/>
  <c r="J20" i="217"/>
  <c r="L16" i="216"/>
  <c r="M28" i="217" l="1"/>
  <c r="M20" i="217"/>
  <c r="M20" i="216"/>
  <c r="M24" i="216"/>
  <c r="M17" i="216"/>
  <c r="M26" i="216"/>
  <c r="M25" i="216"/>
  <c r="J37" i="216"/>
  <c r="L8" i="216"/>
  <c r="L37" i="216" s="1"/>
  <c r="K37" i="216"/>
  <c r="M19" i="216"/>
  <c r="M23" i="216"/>
  <c r="M18" i="216"/>
  <c r="M14" i="216"/>
  <c r="M27" i="216"/>
  <c r="M10" i="216"/>
  <c r="M9" i="217"/>
  <c r="M18" i="217"/>
  <c r="M11" i="217"/>
  <c r="M13" i="216"/>
  <c r="M11" i="216"/>
  <c r="M15" i="216"/>
  <c r="M21" i="216"/>
  <c r="M29" i="216"/>
  <c r="M21" i="217"/>
  <c r="M13" i="217"/>
  <c r="M42" i="217" s="1"/>
  <c r="M16" i="217"/>
  <c r="M10" i="217"/>
  <c r="M27" i="217"/>
  <c r="J31" i="217"/>
  <c r="M19" i="217"/>
  <c r="M30" i="216"/>
  <c r="L31" i="217"/>
  <c r="M9" i="216"/>
  <c r="M22" i="216"/>
  <c r="M28" i="216"/>
  <c r="M16" i="216"/>
  <c r="M24" i="217"/>
  <c r="K31" i="217"/>
  <c r="M40" i="217" l="1"/>
  <c r="M31" i="217"/>
  <c r="M46" i="216"/>
  <c r="M8" i="216"/>
  <c r="M48" i="216" s="1"/>
  <c r="M43" i="217"/>
  <c r="M37" i="216" l="1"/>
  <c r="M49" i="216"/>
  <c r="M51" i="216" s="1"/>
  <c r="M45" i="217"/>
  <c r="I9" i="206"/>
  <c r="J112" i="206"/>
  <c r="E42" i="215" l="1"/>
  <c r="K9" i="206"/>
  <c r="L9" i="206" s="1"/>
  <c r="J9" i="206"/>
  <c r="L130" i="206"/>
  <c r="I130" i="206"/>
  <c r="M9" i="206" l="1"/>
  <c r="J130" i="206"/>
  <c r="M130" i="206" s="1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8" i="206"/>
  <c r="J58" i="206"/>
  <c r="I60" i="206"/>
  <c r="J60" i="206" s="1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8" i="206"/>
  <c r="M15" i="215"/>
  <c r="N15" i="215" s="1"/>
  <c r="M19" i="215"/>
  <c r="N19" i="215" s="1"/>
  <c r="M60" i="206"/>
  <c r="K20" i="215" l="1"/>
  <c r="M11" i="215"/>
  <c r="N11" i="215" s="1"/>
  <c r="N32" i="215" s="1"/>
  <c r="M10" i="215"/>
  <c r="M20" i="215" s="1"/>
  <c r="N10" i="215" l="1"/>
  <c r="N31" i="215" l="1"/>
  <c r="N20" i="215"/>
  <c r="I77" i="206"/>
  <c r="L102" i="206"/>
  <c r="I102" i="206"/>
  <c r="J102" i="206" s="1"/>
  <c r="I30" i="206"/>
  <c r="J30" i="206" s="1"/>
  <c r="K77" i="206" l="1"/>
  <c r="L77" i="206" s="1"/>
  <c r="N34" i="215"/>
  <c r="J77" i="206"/>
  <c r="M102" i="206"/>
  <c r="L30" i="206"/>
  <c r="M30" i="206" s="1"/>
  <c r="L27" i="205"/>
  <c r="J27" i="205"/>
  <c r="M77" i="206" l="1"/>
  <c r="M27" i="205"/>
  <c r="N36" i="215"/>
  <c r="I76" i="206"/>
  <c r="L105" i="206"/>
  <c r="I105" i="206"/>
  <c r="J76" i="206" l="1"/>
  <c r="K76" i="206"/>
  <c r="J105" i="206"/>
  <c r="M105" i="206" s="1"/>
  <c r="L76" i="206" l="1"/>
  <c r="K79" i="206"/>
  <c r="M76" i="206"/>
  <c r="I26" i="206"/>
  <c r="N27" i="206"/>
  <c r="H66" i="213"/>
  <c r="L129" i="206"/>
  <c r="I129" i="206"/>
  <c r="J129" i="206" s="1"/>
  <c r="L50" i="206"/>
  <c r="I50" i="206"/>
  <c r="K26" i="206" l="1"/>
  <c r="L26" i="206" s="1"/>
  <c r="J26" i="206"/>
  <c r="M129" i="206"/>
  <c r="J50" i="206"/>
  <c r="M50" i="206" s="1"/>
  <c r="H69" i="213"/>
  <c r="J114" i="206"/>
  <c r="H54" i="213"/>
  <c r="M26" i="206" l="1"/>
  <c r="G49" i="213" l="1"/>
  <c r="I33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U21" i="214" l="1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39" i="214" l="1"/>
  <c r="AJ41" i="214" l="1"/>
  <c r="L112" i="206"/>
  <c r="L114" i="206"/>
  <c r="M112" i="206" l="1"/>
  <c r="M114" i="206"/>
  <c r="I127" i="206" l="1"/>
  <c r="J116" i="206"/>
  <c r="I109" i="206"/>
  <c r="I98" i="206"/>
  <c r="I97" i="206"/>
  <c r="I94" i="206"/>
  <c r="I89" i="206"/>
  <c r="J89" i="206" s="1"/>
  <c r="I82" i="206"/>
  <c r="J82" i="206" s="1"/>
  <c r="I72" i="206"/>
  <c r="J72" i="206" s="1"/>
  <c r="I66" i="206"/>
  <c r="I65" i="206"/>
  <c r="J65" i="206" s="1"/>
  <c r="I53" i="206"/>
  <c r="I57" i="206"/>
  <c r="I56" i="206"/>
  <c r="J56" i="206" s="1"/>
  <c r="I55" i="206"/>
  <c r="J55" i="206" s="1"/>
  <c r="I25" i="206"/>
  <c r="I20" i="206"/>
  <c r="I94" i="205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6" i="205"/>
  <c r="K34" i="205"/>
  <c r="K30" i="205"/>
  <c r="K24" i="205"/>
  <c r="K20" i="205"/>
  <c r="I142" i="206"/>
  <c r="L134" i="206"/>
  <c r="L133" i="206"/>
  <c r="L126" i="206"/>
  <c r="L122" i="206"/>
  <c r="L121" i="206"/>
  <c r="L120" i="206"/>
  <c r="L119" i="206"/>
  <c r="L117" i="206"/>
  <c r="L116" i="206"/>
  <c r="L115" i="206"/>
  <c r="L111" i="206"/>
  <c r="L110" i="206"/>
  <c r="L109" i="206"/>
  <c r="L104" i="206"/>
  <c r="L103" i="206"/>
  <c r="L101" i="206"/>
  <c r="L99" i="206"/>
  <c r="L98" i="206"/>
  <c r="L97" i="206"/>
  <c r="L95" i="206"/>
  <c r="L94" i="206"/>
  <c r="L93" i="206"/>
  <c r="L88" i="206"/>
  <c r="L87" i="206"/>
  <c r="L86" i="206"/>
  <c r="L85" i="206"/>
  <c r="L75" i="206"/>
  <c r="L72" i="206"/>
  <c r="L73" i="206"/>
  <c r="L74" i="206"/>
  <c r="L71" i="206"/>
  <c r="L70" i="206"/>
  <c r="L65" i="206"/>
  <c r="L64" i="206"/>
  <c r="L51" i="206"/>
  <c r="L52" i="206"/>
  <c r="L49" i="206"/>
  <c r="L47" i="206"/>
  <c r="L46" i="206"/>
  <c r="L38" i="206"/>
  <c r="L39" i="206"/>
  <c r="L40" i="206"/>
  <c r="L31" i="206"/>
  <c r="L32" i="206"/>
  <c r="L79" i="206" l="1"/>
  <c r="K56" i="205"/>
  <c r="K20" i="206"/>
  <c r="L20" i="206" s="1"/>
  <c r="I21" i="206"/>
  <c r="J142" i="206"/>
  <c r="K142" i="206"/>
  <c r="L142" i="206" s="1"/>
  <c r="J127" i="206"/>
  <c r="K127" i="206"/>
  <c r="L127" i="206" s="1"/>
  <c r="K66" i="206"/>
  <c r="L66" i="206" s="1"/>
  <c r="J25" i="206"/>
  <c r="K25" i="206"/>
  <c r="L25" i="206" s="1"/>
  <c r="J98" i="206"/>
  <c r="M98" i="206" s="1"/>
  <c r="J118" i="206"/>
  <c r="J97" i="206"/>
  <c r="M97" i="206" s="1"/>
  <c r="J94" i="206"/>
  <c r="M94" i="206" s="1"/>
  <c r="J57" i="206"/>
  <c r="L57" i="206"/>
  <c r="I95" i="205"/>
  <c r="J95" i="205" s="1"/>
  <c r="L128" i="206"/>
  <c r="L53" i="206"/>
  <c r="L37" i="206"/>
  <c r="L44" i="206" s="1"/>
  <c r="L125" i="206"/>
  <c r="L56" i="206"/>
  <c r="J66" i="206"/>
  <c r="J109" i="206"/>
  <c r="L118" i="206"/>
  <c r="L55" i="206"/>
  <c r="J20" i="206"/>
  <c r="L89" i="206"/>
  <c r="L91" i="206" s="1"/>
  <c r="J53" i="206"/>
  <c r="L131" i="206" l="1"/>
  <c r="K131" i="206"/>
  <c r="M57" i="206"/>
  <c r="M53" i="206"/>
  <c r="I16" i="206"/>
  <c r="I15" i="206"/>
  <c r="J15" i="206" s="1"/>
  <c r="I12" i="206"/>
  <c r="J12" i="206" s="1"/>
  <c r="L15" i="206"/>
  <c r="L14" i="206"/>
  <c r="L12" i="206"/>
  <c r="L11" i="206"/>
  <c r="L94" i="205"/>
  <c r="J94" i="205"/>
  <c r="I86" i="205"/>
  <c r="L82" i="205"/>
  <c r="J82" i="205"/>
  <c r="L79" i="205"/>
  <c r="J79" i="205"/>
  <c r="L76" i="205"/>
  <c r="J76" i="205"/>
  <c r="L73" i="205"/>
  <c r="L68" i="205"/>
  <c r="L69" i="205"/>
  <c r="L61" i="205"/>
  <c r="J61" i="205"/>
  <c r="L60" i="205"/>
  <c r="J60" i="205"/>
  <c r="L59" i="205"/>
  <c r="J59" i="205"/>
  <c r="J56" i="205"/>
  <c r="J36" i="205"/>
  <c r="J34" i="205"/>
  <c r="J31" i="205"/>
  <c r="J30" i="205"/>
  <c r="J24" i="205"/>
  <c r="J25" i="205"/>
  <c r="J26" i="205"/>
  <c r="J20" i="205"/>
  <c r="K86" i="205" l="1"/>
  <c r="J16" i="206"/>
  <c r="K16" i="206"/>
  <c r="J86" i="205"/>
  <c r="L86" i="205" l="1"/>
  <c r="L89" i="205" s="1"/>
  <c r="J143" i="206"/>
  <c r="K143" i="206"/>
  <c r="K123" i="206"/>
  <c r="J21" i="206"/>
  <c r="K21" i="206"/>
  <c r="L143" i="206"/>
  <c r="M127" i="206"/>
  <c r="M118" i="206"/>
  <c r="M116" i="206"/>
  <c r="M109" i="206"/>
  <c r="M89" i="206"/>
  <c r="L82" i="206"/>
  <c r="M82" i="206" s="1"/>
  <c r="M66" i="206"/>
  <c r="M65" i="206"/>
  <c r="M56" i="206"/>
  <c r="M55" i="206"/>
  <c r="M25" i="206"/>
  <c r="M20" i="206"/>
  <c r="L16" i="206"/>
  <c r="M16" i="206" s="1"/>
  <c r="M15" i="206"/>
  <c r="M12" i="206"/>
  <c r="I139" i="206"/>
  <c r="M94" i="205"/>
  <c r="M82" i="205"/>
  <c r="M79" i="205"/>
  <c r="M76" i="205"/>
  <c r="M77" i="205" s="1"/>
  <c r="M61" i="205"/>
  <c r="M60" i="205"/>
  <c r="M59" i="205"/>
  <c r="L56" i="205"/>
  <c r="M56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J47" i="205"/>
  <c r="K50" i="205"/>
  <c r="J80" i="205"/>
  <c r="M32" i="205" l="1"/>
  <c r="I140" i="206"/>
  <c r="K139" i="206"/>
  <c r="K39" i="205"/>
  <c r="L39" i="205" s="1"/>
  <c r="K23" i="205"/>
  <c r="K28" i="205" s="1"/>
  <c r="K19" i="205"/>
  <c r="L19" i="205" s="1"/>
  <c r="M21" i="206"/>
  <c r="M95" i="205"/>
  <c r="J35" i="205"/>
  <c r="M35" i="205" s="1"/>
  <c r="L32" i="205"/>
  <c r="L43" i="205"/>
  <c r="J43" i="205"/>
  <c r="L46" i="205"/>
  <c r="J46" i="205"/>
  <c r="J39" i="205"/>
  <c r="J139" i="206"/>
  <c r="J140" i="206" s="1"/>
  <c r="L42" i="205"/>
  <c r="J42" i="205"/>
  <c r="J23" i="205"/>
  <c r="J19" i="205"/>
  <c r="L50" i="205"/>
  <c r="J50" i="205"/>
  <c r="L21" i="206"/>
  <c r="M142" i="206"/>
  <c r="M143" i="206" s="1"/>
  <c r="L123" i="206"/>
  <c r="M72" i="206"/>
  <c r="M47" i="205"/>
  <c r="M25" i="205"/>
  <c r="L80" i="205"/>
  <c r="M80" i="205"/>
  <c r="L77" i="205"/>
  <c r="J77" i="205"/>
  <c r="J32" i="205"/>
  <c r="M37" i="205" l="1"/>
  <c r="L23" i="205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39" i="206"/>
  <c r="K140" i="206"/>
  <c r="K80" i="205"/>
  <c r="K32" i="205"/>
  <c r="K95" i="205"/>
  <c r="K77" i="205"/>
  <c r="L95" i="205"/>
  <c r="N62" i="206"/>
  <c r="M44" i="205" l="1"/>
  <c r="M23" i="205"/>
  <c r="M28" i="205" s="1"/>
  <c r="L140" i="206"/>
  <c r="M139" i="206"/>
  <c r="M140" i="206" s="1"/>
  <c r="N83" i="206"/>
  <c r="I40" i="206"/>
  <c r="I38" i="206"/>
  <c r="N35" i="206"/>
  <c r="N18" i="206"/>
  <c r="I80" i="205"/>
  <c r="I77" i="205"/>
  <c r="I81" i="206"/>
  <c r="I83" i="206" s="1"/>
  <c r="N143" i="206"/>
  <c r="I143" i="206"/>
  <c r="N140" i="206"/>
  <c r="N137" i="206"/>
  <c r="N131" i="206"/>
  <c r="N123" i="206"/>
  <c r="N107" i="206"/>
  <c r="N91" i="206"/>
  <c r="N79" i="206"/>
  <c r="N68" i="206"/>
  <c r="N21" i="206"/>
  <c r="K81" i="206" l="1"/>
  <c r="J38" i="206"/>
  <c r="M38" i="206" s="1"/>
  <c r="J81" i="206"/>
  <c r="J83" i="206" s="1"/>
  <c r="J40" i="206"/>
  <c r="M40" i="206" s="1"/>
  <c r="I67" i="206"/>
  <c r="K67" i="206" s="1"/>
  <c r="L81" i="206" l="1"/>
  <c r="K83" i="206"/>
  <c r="J67" i="206"/>
  <c r="L83" i="206" l="1"/>
  <c r="M81" i="206"/>
  <c r="M83" i="206" s="1"/>
  <c r="L67" i="206"/>
  <c r="L68" i="206" s="1"/>
  <c r="K68" i="206"/>
  <c r="M67" i="206" l="1"/>
  <c r="I47" i="206"/>
  <c r="I48" i="206"/>
  <c r="I49" i="206"/>
  <c r="I51" i="206"/>
  <c r="I52" i="206"/>
  <c r="I54" i="206"/>
  <c r="L54" i="206" l="1"/>
  <c r="J54" i="206"/>
  <c r="J52" i="206"/>
  <c r="M52" i="206" s="1"/>
  <c r="J49" i="206"/>
  <c r="M49" i="206" s="1"/>
  <c r="J48" i="206"/>
  <c r="J47" i="206"/>
  <c r="M47" i="206" s="1"/>
  <c r="J51" i="206"/>
  <c r="M51" i="206" s="1"/>
  <c r="I75" i="206"/>
  <c r="M54" i="206" l="1"/>
  <c r="J75" i="206"/>
  <c r="M75" i="206" s="1"/>
  <c r="L48" i="206"/>
  <c r="K62" i="206"/>
  <c r="L62" i="206" l="1"/>
  <c r="M48" i="206"/>
  <c r="J40" i="205" l="1"/>
  <c r="L40" i="205"/>
  <c r="I70" i="206"/>
  <c r="J70" i="206" l="1"/>
  <c r="K40" i="205"/>
  <c r="M70" i="206" l="1"/>
  <c r="I73" i="206"/>
  <c r="J73" i="206" l="1"/>
  <c r="M73" i="206" s="1"/>
  <c r="J133" i="206" l="1"/>
  <c r="M133" i="206" s="1"/>
  <c r="I8" i="206"/>
  <c r="I125" i="206"/>
  <c r="I126" i="206"/>
  <c r="I128" i="206"/>
  <c r="I110" i="206"/>
  <c r="I111" i="206"/>
  <c r="J115" i="206"/>
  <c r="J117" i="206"/>
  <c r="J119" i="206"/>
  <c r="J120" i="206"/>
  <c r="J121" i="206"/>
  <c r="J122" i="206"/>
  <c r="I95" i="206"/>
  <c r="I96" i="206"/>
  <c r="K96" i="206" s="1"/>
  <c r="K107" i="206" s="1"/>
  <c r="I99" i="206"/>
  <c r="I100" i="206"/>
  <c r="L100" i="206" s="1"/>
  <c r="I101" i="206"/>
  <c r="I103" i="206"/>
  <c r="I104" i="206"/>
  <c r="I93" i="206"/>
  <c r="I86" i="206"/>
  <c r="I87" i="206"/>
  <c r="I88" i="206"/>
  <c r="I85" i="206"/>
  <c r="I71" i="206"/>
  <c r="I74" i="206"/>
  <c r="I64" i="206"/>
  <c r="I68" i="206" s="1"/>
  <c r="I46" i="206"/>
  <c r="I62" i="206" s="1"/>
  <c r="I37" i="206"/>
  <c r="I39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1" i="205"/>
  <c r="K91" i="205" s="1"/>
  <c r="I87" i="205"/>
  <c r="I89" i="205" s="1"/>
  <c r="M86" i="205"/>
  <c r="I83" i="205"/>
  <c r="I84" i="205" s="1"/>
  <c r="I73" i="205"/>
  <c r="I72" i="205"/>
  <c r="I68" i="205"/>
  <c r="I69" i="205"/>
  <c r="I67" i="205"/>
  <c r="I64" i="205"/>
  <c r="K64" i="205" s="1"/>
  <c r="I58" i="205"/>
  <c r="L58" i="205" s="1"/>
  <c r="I57" i="205"/>
  <c r="I62" i="205" s="1"/>
  <c r="I17" i="205"/>
  <c r="I74" i="205" l="1"/>
  <c r="I70" i="205"/>
  <c r="I107" i="206"/>
  <c r="I79" i="206"/>
  <c r="I18" i="206"/>
  <c r="I123" i="206"/>
  <c r="I44" i="206"/>
  <c r="I27" i="206"/>
  <c r="I131" i="206"/>
  <c r="I35" i="206"/>
  <c r="I91" i="206"/>
  <c r="K67" i="205"/>
  <c r="L67" i="205" s="1"/>
  <c r="K72" i="205"/>
  <c r="L72" i="205" s="1"/>
  <c r="K57" i="205"/>
  <c r="L57" i="205" s="1"/>
  <c r="K87" i="205"/>
  <c r="K89" i="205" s="1"/>
  <c r="K29" i="206"/>
  <c r="K35" i="206" s="1"/>
  <c r="K23" i="206"/>
  <c r="K8" i="206"/>
  <c r="K18" i="206" s="1"/>
  <c r="K11" i="205"/>
  <c r="K14" i="205" s="1"/>
  <c r="J64" i="206"/>
  <c r="J68" i="206" s="1"/>
  <c r="J46" i="206"/>
  <c r="J62" i="206" s="1"/>
  <c r="L16" i="205"/>
  <c r="J16" i="205"/>
  <c r="M122" i="206"/>
  <c r="L83" i="205"/>
  <c r="J83" i="205"/>
  <c r="L64" i="205"/>
  <c r="J64" i="205"/>
  <c r="J87" i="206"/>
  <c r="M87" i="206" s="1"/>
  <c r="J86" i="206"/>
  <c r="M86" i="206" s="1"/>
  <c r="J99" i="206"/>
  <c r="M99" i="206" s="1"/>
  <c r="M117" i="206"/>
  <c r="J125" i="206"/>
  <c r="J103" i="206"/>
  <c r="M103" i="206" s="1"/>
  <c r="J57" i="205"/>
  <c r="J85" i="206"/>
  <c r="J110" i="206"/>
  <c r="J87" i="205"/>
  <c r="J89" i="205" s="1"/>
  <c r="J37" i="206"/>
  <c r="J100" i="206"/>
  <c r="M100" i="206" s="1"/>
  <c r="M119" i="206"/>
  <c r="J67" i="205"/>
  <c r="J69" i="205"/>
  <c r="M69" i="205" s="1"/>
  <c r="L135" i="206"/>
  <c r="J135" i="206"/>
  <c r="M115" i="206"/>
  <c r="J12" i="205"/>
  <c r="M12" i="205" s="1"/>
  <c r="J68" i="205"/>
  <c r="M68" i="205" s="1"/>
  <c r="J32" i="206"/>
  <c r="M32" i="206" s="1"/>
  <c r="J74" i="206"/>
  <c r="M74" i="206" s="1"/>
  <c r="J93" i="206"/>
  <c r="J96" i="206"/>
  <c r="J134" i="206"/>
  <c r="M134" i="206" s="1"/>
  <c r="J73" i="205"/>
  <c r="M73" i="205" s="1"/>
  <c r="J11" i="206"/>
  <c r="M11" i="206" s="1"/>
  <c r="L24" i="206"/>
  <c r="J24" i="206"/>
  <c r="J126" i="206"/>
  <c r="M126" i="206" s="1"/>
  <c r="J23" i="206"/>
  <c r="L91" i="205"/>
  <c r="J91" i="205"/>
  <c r="J29" i="206"/>
  <c r="J11" i="205"/>
  <c r="J72" i="205"/>
  <c r="J31" i="206"/>
  <c r="M31" i="206" s="1"/>
  <c r="J71" i="206"/>
  <c r="J104" i="206"/>
  <c r="M104" i="206" s="1"/>
  <c r="J95" i="206"/>
  <c r="M95" i="206" s="1"/>
  <c r="J14" i="206"/>
  <c r="M14" i="206" s="1"/>
  <c r="J8" i="206"/>
  <c r="J111" i="206"/>
  <c r="M111" i="206" s="1"/>
  <c r="J39" i="206"/>
  <c r="M39" i="206" s="1"/>
  <c r="M121" i="206"/>
  <c r="J58" i="205"/>
  <c r="M58" i="205" s="1"/>
  <c r="L10" i="206"/>
  <c r="J10" i="206"/>
  <c r="J88" i="206"/>
  <c r="M88" i="206" s="1"/>
  <c r="J101" i="206"/>
  <c r="M101" i="206" s="1"/>
  <c r="M120" i="206"/>
  <c r="J128" i="206"/>
  <c r="J37" i="205"/>
  <c r="L37" i="205"/>
  <c r="L44" i="205"/>
  <c r="J44" i="205"/>
  <c r="I65" i="205"/>
  <c r="J48" i="205"/>
  <c r="I92" i="205"/>
  <c r="M93" i="206" l="1"/>
  <c r="J107" i="206"/>
  <c r="M71" i="206"/>
  <c r="M79" i="206" s="1"/>
  <c r="J79" i="206"/>
  <c r="J18" i="206"/>
  <c r="J44" i="206"/>
  <c r="J91" i="206"/>
  <c r="I145" i="206"/>
  <c r="J35" i="206"/>
  <c r="J14" i="205"/>
  <c r="M16" i="205"/>
  <c r="J131" i="206"/>
  <c r="J27" i="206"/>
  <c r="M128" i="206"/>
  <c r="K27" i="206"/>
  <c r="M46" i="206"/>
  <c r="M62" i="206" s="1"/>
  <c r="M64" i="206"/>
  <c r="M68" i="206" s="1"/>
  <c r="J74" i="205"/>
  <c r="J70" i="205"/>
  <c r="M72" i="205"/>
  <c r="M74" i="205" s="1"/>
  <c r="L11" i="205"/>
  <c r="L14" i="205" s="1"/>
  <c r="M91" i="205"/>
  <c r="M92" i="205" s="1"/>
  <c r="M57" i="205"/>
  <c r="M62" i="205" s="1"/>
  <c r="M67" i="205"/>
  <c r="M70" i="205" s="1"/>
  <c r="M83" i="205"/>
  <c r="M84" i="205" s="1"/>
  <c r="M135" i="206"/>
  <c r="M10" i="206"/>
  <c r="M64" i="205"/>
  <c r="M65" i="205" s="1"/>
  <c r="M24" i="206"/>
  <c r="M87" i="205"/>
  <c r="M89" i="205" s="1"/>
  <c r="J123" i="206"/>
  <c r="J62" i="205"/>
  <c r="M110" i="206"/>
  <c r="M123" i="206" s="1"/>
  <c r="L23" i="206"/>
  <c r="L27" i="206" s="1"/>
  <c r="L96" i="206"/>
  <c r="L8" i="206"/>
  <c r="L18" i="206" s="1"/>
  <c r="M85" i="206"/>
  <c r="M91" i="206" s="1"/>
  <c r="L29" i="206"/>
  <c r="L35" i="206" s="1"/>
  <c r="M37" i="206"/>
  <c r="M44" i="206" s="1"/>
  <c r="M125" i="206"/>
  <c r="L62" i="205"/>
  <c r="L70" i="205"/>
  <c r="J84" i="205"/>
  <c r="L84" i="205"/>
  <c r="K74" i="205"/>
  <c r="K70" i="205"/>
  <c r="K48" i="205"/>
  <c r="K37" i="205"/>
  <c r="K62" i="205"/>
  <c r="J92" i="205"/>
  <c r="L92" i="205"/>
  <c r="J17" i="205"/>
  <c r="L17" i="205"/>
  <c r="J65" i="205"/>
  <c r="L65" i="205"/>
  <c r="J21" i="205"/>
  <c r="L21" i="205"/>
  <c r="L74" i="205"/>
  <c r="K44" i="205"/>
  <c r="L48" i="205"/>
  <c r="M96" i="206" l="1"/>
  <c r="L107" i="206"/>
  <c r="M107" i="206"/>
  <c r="M131" i="206"/>
  <c r="M17" i="205"/>
  <c r="M11" i="205"/>
  <c r="M107" i="205" s="1"/>
  <c r="M23" i="206"/>
  <c r="M29" i="206"/>
  <c r="M35" i="206" s="1"/>
  <c r="M8" i="206"/>
  <c r="K21" i="205"/>
  <c r="K65" i="205"/>
  <c r="K92" i="205"/>
  <c r="K84" i="205"/>
  <c r="K17" i="205"/>
  <c r="M18" i="206" l="1"/>
  <c r="L157" i="206"/>
  <c r="M27" i="206"/>
  <c r="M14" i="205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54" i="205" l="1"/>
  <c r="I97" i="205" s="1"/>
  <c r="K54" i="205" l="1"/>
  <c r="K97" i="205" s="1"/>
  <c r="L53" i="205"/>
  <c r="L54" i="205" s="1"/>
  <c r="L97" i="205" s="1"/>
  <c r="J53" i="205"/>
  <c r="J54" i="205" s="1"/>
  <c r="J97" i="205" s="1"/>
  <c r="M53" i="205" l="1"/>
  <c r="M106" i="205" s="1"/>
  <c r="M108" i="205" l="1"/>
  <c r="M54" i="205"/>
  <c r="M97" i="205" s="1"/>
  <c r="M110" i="205" l="1"/>
  <c r="L136" i="206"/>
  <c r="L137" i="206" s="1"/>
  <c r="L145" i="206" s="1"/>
  <c r="J136" i="206" l="1"/>
  <c r="J137" i="206" s="1"/>
  <c r="J145" i="206" s="1"/>
  <c r="K137" i="206"/>
  <c r="K145" i="206" s="1"/>
  <c r="M136" i="206" l="1"/>
  <c r="L156" i="206" s="1"/>
  <c r="M137" i="206" l="1"/>
  <c r="M145" i="206" s="1"/>
  <c r="N40" i="215"/>
  <c r="N44" i="215" l="1"/>
  <c r="L158" i="206"/>
  <c r="E40" i="215" s="1"/>
  <c r="E44" i="215" l="1"/>
  <c r="L160" i="206"/>
</calcChain>
</file>

<file path=xl/sharedStrings.xml><?xml version="1.0" encoding="utf-8"?>
<sst xmlns="http://schemas.openxmlformats.org/spreadsheetml/2006/main" count="966" uniqueCount="490">
  <si>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</si>
  <si>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</si>
  <si>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</si>
  <si>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</si>
  <si>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</si>
  <si>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</si>
  <si>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</si>
  <si>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</si>
  <si>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</si>
  <si>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</si>
  <si>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</si>
  <si>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</si>
  <si>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</si>
  <si>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</si>
  <si>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</si>
  <si>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</si>
  <si>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</si>
  <si>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</si>
  <si>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</si>
  <si>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</si>
  <si>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</si>
  <si>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</si>
  <si>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</si>
  <si>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</si>
  <si>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</si>
  <si>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</si>
  <si>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</si>
  <si>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</si>
  <si>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</si>
  <si>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</si>
  <si>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</si>
  <si>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</si>
  <si>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</si>
  <si>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</si>
  <si>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</si>
  <si>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</si>
  <si>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</si>
  <si>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</si>
  <si>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</si>
  <si>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</si>
  <si>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</si>
  <si>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</si>
  <si>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</si>
  <si>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</si>
  <si>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</si>
  <si>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</si>
  <si>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</si>
  <si>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</si>
  <si>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</si>
  <si>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</si>
  <si>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</si>
  <si>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</si>
  <si>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</si>
  <si>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</si>
  <si>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</si>
  <si>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</si>
  <si>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</si>
  <si>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</si>
  <si>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</si>
  <si>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</si>
  <si>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</si>
  <si>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</si>
  <si>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</si>
  <si>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</si>
  <si>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</si>
  <si>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</si>
  <si>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</si>
  <si>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</si>
  <si>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</si>
  <si>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</si>
  <si>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</si>
  <si>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</si>
  <si>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</si>
  <si>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</si>
  <si>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</si>
  <si>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</si>
  <si>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</si>
  <si>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</si>
  <si>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</si>
  <si>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</si>
  <si>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</si>
  <si>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</si>
  <si>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</si>
  <si>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</si>
  <si>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</si>
  <si>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</si>
  <si>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</si>
  <si>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</si>
  <si>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</si>
  <si>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</si>
  <si>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</si>
  <si>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</si>
  <si>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</si>
  <si>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</si>
  <si>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</si>
  <si>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</si>
  <si>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</si>
  <si>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</si>
  <si>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</si>
  <si>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</si>
  <si>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</si>
  <si>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</si>
  <si>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</si>
  <si>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</si>
  <si>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</si>
  <si>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</si>
  <si>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</si>
  <si>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</si>
  <si>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</si>
  <si>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</si>
  <si>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</si>
  <si>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</si>
  <si>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</si>
  <si>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</si>
  <si>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</si>
  <si>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</si>
  <si>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</si>
  <si>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</si>
  <si>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</si>
  <si>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</si>
  <si>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</si>
  <si>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</si>
  <si>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</si>
  <si>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</si>
  <si>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</si>
  <si>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</si>
  <si>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</si>
  <si>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</si>
  <si>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</si>
  <si>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</si>
  <si>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</si>
  <si>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</si>
  <si>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</si>
  <si>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</si>
  <si>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</si>
  <si>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</si>
  <si>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</si>
  <si>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</si>
  <si>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</si>
  <si>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</si>
  <si>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</si>
  <si>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</si>
  <si>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</si>
  <si>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</si>
  <si>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</si>
  <si>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</si>
  <si>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</si>
  <si>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</si>
  <si>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</si>
  <si>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</si>
  <si>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</si>
  <si>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</si>
  <si>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</si>
  <si>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</si>
  <si>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</si>
  <si>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</si>
  <si>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</si>
  <si>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</si>
  <si>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</si>
  <si>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</si>
  <si>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</si>
  <si>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</si>
  <si>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</si>
  <si>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</si>
  <si>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</si>
  <si>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</si>
  <si>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</si>
  <si>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</si>
  <si>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</si>
  <si>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</si>
  <si>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</si>
  <si>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</si>
  <si>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</si>
  <si>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</si>
  <si>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</si>
  <si>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</si>
  <si>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</si>
  <si>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</si>
  <si>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</si>
  <si>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</si>
  <si>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</si>
  <si>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</si>
  <si>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</si>
  <si>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</si>
  <si>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</si>
  <si>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</si>
  <si>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</si>
  <si>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</si>
  <si>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</si>
  <si>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</si>
  <si>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</si>
  <si>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</si>
  <si>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</si>
  <si>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</si>
  <si>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</si>
  <si>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</si>
  <si>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</si>
  <si>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</si>
  <si>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</si>
  <si>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</si>
  <si>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</si>
  <si>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</si>
  <si>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</si>
  <si>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</si>
  <si>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</si>
  <si>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</si>
  <si>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</si>
  <si>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</si>
  <si>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</si>
  <si>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</si>
  <si>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</si>
  <si>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</si>
  <si>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</si>
  <si>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</si>
  <si>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</si>
  <si>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</si>
  <si>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</si>
  <si>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</si>
  <si>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</si>
  <si>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</si>
  <si>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</si>
  <si>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</si>
  <si>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</si>
  <si>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</si>
  <si>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</si>
  <si>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</si>
  <si>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</si>
  <si>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</si>
  <si>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</si>
  <si>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</si>
  <si>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</si>
  <si>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</si>
  <si>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</si>
  <si>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</si>
  <si>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</si>
  <si>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</si>
  <si>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</si>
  <si>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</si>
  <si>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</si>
  <si>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</si>
  <si>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</si>
  <si>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</si>
  <si>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</si>
  <si>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</si>
  <si>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</si>
  <si>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</si>
  <si>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</si>
  <si>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</si>
  <si>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</si>
  <si>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</si>
  <si>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</si>
  <si>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</si>
  <si>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</si>
  <si>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</si>
  <si>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</si>
  <si>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</si>
  <si>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</si>
  <si>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</si>
  <si>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</si>
  <si>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</si>
  <si>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</si>
  <si>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</si>
  <si>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</si>
  <si>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</si>
  <si>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</si>
  <si>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</si>
  <si>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</si>
  <si>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</si>
  <si>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</si>
  <si>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</si>
  <si>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</si>
  <si>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</si>
  <si>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</si>
  <si>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</si>
  <si>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</si>
  <si>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</si>
  <si>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</si>
  <si>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</si>
  <si>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</si>
  <si>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</si>
  <si>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</si>
  <si>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</si>
  <si>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</si>
  <si>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</si>
  <si>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</si>
  <si>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</si>
  <si>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</si>
  <si>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</si>
  <si>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</si>
  <si>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</si>
  <si>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</si>
  <si>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</si>
  <si>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</si>
  <si>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</si>
  <si>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</si>
  <si>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</si>
  <si>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</si>
  <si>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</si>
  <si>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</si>
  <si>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</si>
  <si>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</si>
  <si>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</si>
  <si>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</si>
  <si>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</si>
  <si>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</si>
  <si>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</si>
  <si>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</si>
  <si>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</si>
  <si>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</si>
  <si>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</si>
  <si>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</si>
  <si>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</si>
  <si>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</si>
  <si>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</si>
  <si>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</si>
  <si>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</si>
  <si>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</si>
  <si>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</si>
  <si>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</si>
  <si>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</si>
  <si>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</si>
  <si>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</si>
  <si>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</si>
  <si>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</si>
  <si>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</si>
  <si>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</si>
  <si>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</si>
  <si>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</si>
  <si>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</si>
  <si>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</si>
  <si>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</si>
  <si>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</si>
  <si>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</si>
  <si>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</si>
  <si>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</si>
  <si>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</si>
  <si>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</si>
  <si>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</si>
  <si>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</si>
  <si>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</si>
  <si>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</si>
  <si>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</si>
  <si>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</si>
  <si>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</si>
  <si>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</si>
  <si>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</si>
  <si>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</si>
  <si>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</si>
  <si>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</si>
  <si>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</si>
  <si>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</si>
  <si>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</si>
  <si>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</si>
  <si>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</si>
  <si>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</si>
  <si>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</si>
  <si>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</si>
  <si>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</si>
  <si>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</si>
  <si>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</si>
  <si>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</si>
  <si>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Jose Carlos Contreras Regalado</t>
  </si>
  <si>
    <t>Paola Esmeralda Flores Cocolan</t>
  </si>
  <si>
    <t>Aseo en el rio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</si>
  <si>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</si>
  <si>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</si>
  <si>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</si>
  <si>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</si>
  <si>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</si>
  <si>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</si>
  <si>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</si>
  <si>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</si>
  <si>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</si>
  <si>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</si>
  <si>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</si>
  <si>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</si>
  <si>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</si>
  <si>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</si>
  <si>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</si>
  <si>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</si>
  <si>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</si>
  <si>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</si>
  <si>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</si>
  <si>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</si>
  <si>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</si>
  <si>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</si>
  <si>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</si>
  <si>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</si>
  <si>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</si>
  <si>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</si>
  <si>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</si>
  <si>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</si>
  <si>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</si>
  <si>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</si>
  <si>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</si>
  <si>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</si>
  <si>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</si>
  <si>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</si>
  <si>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</si>
  <si>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</si>
  <si>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</si>
  <si>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</si>
  <si>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</si>
  <si>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</si>
  <si>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</si>
  <si>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</si>
  <si>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</si>
  <si>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</si>
  <si>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</si>
  <si>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</si>
  <si>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</si>
  <si>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</si>
  <si>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</si>
  <si>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</si>
  <si>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</si>
  <si>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</si>
  <si>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</si>
  <si>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</si>
  <si>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</si>
  <si>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</si>
  <si>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</si>
  <si>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</si>
  <si>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</si>
  <si>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</si>
  <si>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</si>
  <si>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</si>
  <si>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</si>
  <si>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</si>
  <si>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</si>
  <si>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</si>
  <si>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</si>
  <si>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</si>
  <si>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</si>
  <si>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</si>
  <si>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</si>
  <si>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</si>
  <si>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</si>
  <si>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</si>
  <si>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</si>
  <si>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Noel Ramos Luna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</si>
  <si>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</si>
  <si>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</si>
  <si>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</si>
  <si>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</si>
  <si>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</si>
  <si>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</si>
  <si>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</si>
  <si>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</si>
  <si>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</si>
  <si>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</si>
  <si>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</si>
  <si>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</si>
  <si>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</si>
  <si>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</si>
  <si>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</si>
  <si>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Auxiliar de Ce-Mujer</t>
  </si>
  <si>
    <t>Omar Ascencion Arreola Ojeda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</si>
  <si>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</si>
  <si>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</si>
  <si>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</si>
  <si>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</si>
  <si>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</si>
  <si>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</si>
  <si>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Maria Martha Alicia Salazar Jimenez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</si>
  <si>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</si>
  <si>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</si>
  <si>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</si>
  <si>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</si>
  <si>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</si>
  <si>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</si>
  <si>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</si>
  <si>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</si>
  <si>
    <t>Juan Francisco Herrera Dillanes</t>
  </si>
  <si>
    <t>Arturo Aviña Ramirez</t>
  </si>
  <si>
    <t>Maria Elena Arias Topete</t>
  </si>
  <si>
    <t xml:space="preserve">                                         PERIODO DE PAGO: SEGUNDA QUINCENA DE MARZO DEL 2024</t>
  </si>
  <si>
    <t>SEGUNDA QUINCENA DE MARZO DEL 2024</t>
  </si>
  <si>
    <t>NOMINA DEL 16 AL 31 DE MARZO DEL 2024</t>
  </si>
  <si>
    <t>PERIODO DE PAGO: SEGUNDA QUINCENA DE MARZO DEL 2024</t>
  </si>
  <si>
    <t>Karla Anahi Ruelas Vazquez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</si>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</sst>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8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452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3" t="s">
        <v>4</v>
      </c>
      <c r="C7" s="373"/>
      <c r="D7" s="373"/>
      <c r="E7" s="8"/>
      <c r="F7" s="374" t="s">
        <v>19</v>
      </c>
      <c r="G7" s="375"/>
    </row>
    <row r="8" spans="1:7" ht="14.25" customHeight="1" x14ac:dyDescent="0.2">
      <c r="B8" s="376" t="s">
        <v>3</v>
      </c>
      <c r="C8" s="376"/>
      <c r="D8" s="376"/>
      <c r="E8" s="8"/>
      <c r="F8" s="377" t="s">
        <v>20</v>
      </c>
      <c r="G8" s="378"/>
    </row>
    <row r="9" spans="1:7" ht="8.25" customHeight="1" x14ac:dyDescent="0.2">
      <c r="B9" s="370"/>
      <c r="C9" s="370"/>
      <c r="D9" s="370"/>
      <c r="E9" s="8"/>
      <c r="F9" s="371"/>
      <c r="G9" s="372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450</v>
      </c>
      <c r="C34" s="8"/>
      <c r="D34" s="8"/>
    </row>
    <row r="35" spans="2:7" x14ac:dyDescent="0.2">
      <c r="B35" s="23" t="s">
        <v>451</v>
      </c>
      <c r="C35" s="8"/>
      <c r="D35" s="8"/>
    </row>
    <row r="44" spans="2:7" ht="17.25" customHeight="1" x14ac:dyDescent="0.2">
      <c r="B44" s="6" t="s">
        <v>18</v>
      </c>
      <c r="E44" s="8"/>
      <c r="F44" s="374" t="s">
        <v>23</v>
      </c>
      <c r="G44" s="375"/>
    </row>
    <row r="45" spans="2:7" x14ac:dyDescent="0.2">
      <c r="E45" s="8"/>
      <c r="F45" s="377" t="s">
        <v>24</v>
      </c>
      <c r="G45" s="378"/>
    </row>
    <row r="46" spans="2:7" ht="5.25" customHeight="1" x14ac:dyDescent="0.2">
      <c r="E46" s="8"/>
      <c r="F46" s="371"/>
      <c r="G46" s="372"/>
    </row>
    <row r="47" spans="2:7" x14ac:dyDescent="0.2">
      <c r="B47" s="373" t="s">
        <v>4</v>
      </c>
      <c r="C47" s="373"/>
      <c r="D47" s="373"/>
      <c r="E47" s="8"/>
      <c r="F47" s="10" t="s">
        <v>10</v>
      </c>
      <c r="G47" s="10" t="s">
        <v>11</v>
      </c>
    </row>
    <row r="48" spans="2:7" x14ac:dyDescent="0.2">
      <c r="B48" s="376" t="s">
        <v>3</v>
      </c>
      <c r="C48" s="376"/>
      <c r="D48" s="376"/>
      <c r="E48" s="8"/>
      <c r="F48" s="10"/>
      <c r="G48" s="10" t="s">
        <v>12</v>
      </c>
    </row>
    <row r="49" spans="2:7" x14ac:dyDescent="0.2">
      <c r="B49" s="370"/>
      <c r="C49" s="370"/>
      <c r="D49" s="370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9" t="s">
        <v>364</v>
      </c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81"/>
      <c r="F4" s="381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365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366</v>
      </c>
      <c r="G8" s="382" t="s">
        <v>476</v>
      </c>
      <c r="H8" s="382"/>
      <c r="I8" s="382"/>
      <c r="J8" s="382"/>
      <c r="K8" s="382"/>
      <c r="L8" s="382"/>
      <c r="M8" s="382"/>
      <c r="N8" s="284"/>
      <c r="O8" s="285"/>
    </row>
    <row r="9" spans="1:15" s="293" customFormat="1" ht="38.25" x14ac:dyDescent="0.2">
      <c r="A9" s="5"/>
      <c r="B9" s="286" t="s">
        <v>287</v>
      </c>
      <c r="C9" s="287" t="s">
        <v>347</v>
      </c>
      <c r="D9" s="288" t="s">
        <v>14</v>
      </c>
      <c r="E9" s="288" t="s">
        <v>281</v>
      </c>
      <c r="F9" s="288" t="s">
        <v>282</v>
      </c>
      <c r="G9" s="288" t="s">
        <v>447</v>
      </c>
      <c r="H9" s="288" t="s">
        <v>286</v>
      </c>
      <c r="I9" s="289" t="s">
        <v>283</v>
      </c>
      <c r="J9" s="288" t="s">
        <v>299</v>
      </c>
      <c r="K9" s="288" t="s">
        <v>300</v>
      </c>
      <c r="L9" s="290" t="s">
        <v>367</v>
      </c>
      <c r="M9" s="290" t="s">
        <v>284</v>
      </c>
      <c r="N9" s="291" t="s">
        <v>280</v>
      </c>
      <c r="O9" s="292" t="s">
        <v>291</v>
      </c>
    </row>
    <row r="10" spans="1:15" s="29" customFormat="1" ht="30" customHeight="1" x14ac:dyDescent="0.2">
      <c r="A10" s="5"/>
      <c r="B10" s="294">
        <v>1</v>
      </c>
      <c r="C10" s="295" t="s">
        <v>347</v>
      </c>
      <c r="D10" s="296" t="s">
        <v>368</v>
      </c>
      <c r="E10" s="296" t="s">
        <v>369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370</v>
      </c>
      <c r="E11" s="296" t="s">
        <v>369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 t="s">
        <v>347</v>
      </c>
      <c r="D12" s="296" t="s">
        <v>472</v>
      </c>
      <c r="E12" s="296" t="s">
        <v>369</v>
      </c>
      <c r="F12" s="257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371</v>
      </c>
      <c r="E13" s="296" t="s">
        <v>369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372</v>
      </c>
      <c r="E14" s="296" t="s">
        <v>369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373</v>
      </c>
      <c r="E15" s="296" t="s">
        <v>369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374</v>
      </c>
      <c r="E16" s="296" t="s">
        <v>369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375</v>
      </c>
      <c r="E17" s="296" t="s">
        <v>369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376</v>
      </c>
      <c r="E18" s="296" t="s">
        <v>369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377</v>
      </c>
      <c r="E19" s="296" t="s">
        <v>378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3" t="s">
        <v>17</v>
      </c>
      <c r="C20" s="384"/>
      <c r="D20" s="384"/>
      <c r="E20" s="384"/>
      <c r="F20" s="384"/>
      <c r="G20" s="384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387" t="s">
        <v>480</v>
      </c>
      <c r="E26" s="387"/>
      <c r="M26" s="90" t="s">
        <v>289</v>
      </c>
      <c r="N26" s="90"/>
      <c r="O26" s="89"/>
    </row>
    <row r="27" spans="1:15" ht="12.75" customHeight="1" x14ac:dyDescent="0.2">
      <c r="B27" s="91"/>
      <c r="D27" s="385" t="s">
        <v>288</v>
      </c>
      <c r="E27" s="385"/>
      <c r="M27" s="385" t="s">
        <v>290</v>
      </c>
      <c r="N27" s="385"/>
      <c r="O27" s="386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>
        <f>N10+N12</f>
        <v>16313.98</v>
      </c>
    </row>
    <row r="32" spans="1:15" x14ac:dyDescent="0.2">
      <c r="M32" s="5" t="s">
        <v>91</v>
      </c>
      <c r="N32" s="313">
        <f>N13+N14+N15+N16+N17+N18+N19+N11</f>
        <v>65255.919999999991</v>
      </c>
    </row>
    <row r="34" spans="4:14" x14ac:dyDescent="0.2">
      <c r="M34" s="5" t="s">
        <v>297</v>
      </c>
      <c r="N34" s="313">
        <f>N32+N31</f>
        <v>81569.899999999994</v>
      </c>
    </row>
    <row r="36" spans="4:14" x14ac:dyDescent="0.2">
      <c r="M36" s="5" t="s">
        <v>298</v>
      </c>
      <c r="N36" s="32">
        <f>N34-N20</f>
        <v>0</v>
      </c>
    </row>
    <row r="40" spans="4:14" x14ac:dyDescent="0.2">
      <c r="D40" s="312" t="s">
        <v>379</v>
      </c>
      <c r="E40" s="314">
        <f>N34+BASE!M108+EVENTUALES!L158+PENSIONADOS!AJ25+'Apoyos '!H22+'Apoyos '!H54</f>
        <v>604197.91000000015</v>
      </c>
      <c r="K40" s="5" t="s">
        <v>380</v>
      </c>
      <c r="N40" s="314">
        <f>N31+BASE!M106+EVENTUALES!L156+PENSIONADOS!AJ25+'Apoyos '!H22+'Apoyos '!H54+'SEG. PUBLICA'!M46+PROT.CIVIL!M40</f>
        <v>413951.43000000005</v>
      </c>
    </row>
    <row r="42" spans="4:14" x14ac:dyDescent="0.2">
      <c r="D42" s="312" t="s">
        <v>381</v>
      </c>
      <c r="E42" s="314">
        <f>'SEG. PUBLICA'!M49+PROT.CIVIL!M43</f>
        <v>245250.85000000003</v>
      </c>
      <c r="K42" s="5" t="s">
        <v>382</v>
      </c>
      <c r="N42" s="314">
        <f>N32+BASE!M107+EVENTUALES!L157+'SEG. PUBLICA'!M48+PROT.CIVIL!M42</f>
        <v>435497.33</v>
      </c>
    </row>
    <row r="44" spans="4:14" x14ac:dyDescent="0.2">
      <c r="D44" s="312" t="s">
        <v>128</v>
      </c>
      <c r="E44" s="314">
        <f>E40+E42</f>
        <v>849448.76000000024</v>
      </c>
      <c r="K44" s="5" t="s">
        <v>128</v>
      </c>
      <c r="N44" s="314">
        <f>SUM(N40:N43)</f>
        <v>849448.76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0"/>
  <sheetViews>
    <sheetView showGridLines="0" topLeftCell="A82" zoomScale="85" zoomScaleNormal="85" workbookViewId="0">
      <selection activeCell="F94" sqref="F94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411" t="s">
        <v>294</v>
      </c>
      <c r="F2" s="411"/>
      <c r="G2" s="411"/>
      <c r="H2" s="411"/>
      <c r="I2" s="411"/>
      <c r="J2" s="411"/>
      <c r="K2" s="411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412" t="s">
        <v>295</v>
      </c>
      <c r="F5" s="412"/>
      <c r="G5" s="412"/>
      <c r="H5" s="412"/>
      <c r="I5" s="412"/>
      <c r="J5" s="412"/>
      <c r="K5" s="412"/>
      <c r="L5" s="413"/>
      <c r="M5" s="413"/>
      <c r="N5" s="414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415" t="s">
        <v>475</v>
      </c>
      <c r="E7" s="415"/>
      <c r="F7" s="415"/>
      <c r="G7" s="415"/>
      <c r="H7" s="415"/>
      <c r="I7" s="415"/>
      <c r="J7" s="415"/>
      <c r="K7" s="149"/>
      <c r="L7" s="142"/>
      <c r="M7" s="142"/>
      <c r="N7" s="143"/>
    </row>
    <row r="8" spans="1:14" s="27" customFormat="1" ht="36" x14ac:dyDescent="0.2">
      <c r="A8" s="28"/>
      <c r="B8" s="103" t="s">
        <v>287</v>
      </c>
      <c r="C8" s="207" t="s">
        <v>347</v>
      </c>
      <c r="D8" s="104" t="s">
        <v>14</v>
      </c>
      <c r="E8" s="104" t="s">
        <v>281</v>
      </c>
      <c r="F8" s="104" t="s">
        <v>282</v>
      </c>
      <c r="G8" s="104" t="s">
        <v>285</v>
      </c>
      <c r="H8" s="104" t="s">
        <v>286</v>
      </c>
      <c r="I8" s="105" t="s">
        <v>283</v>
      </c>
      <c r="J8" s="104" t="s">
        <v>299</v>
      </c>
      <c r="K8" s="104" t="s">
        <v>300</v>
      </c>
      <c r="L8" s="106" t="s">
        <v>284</v>
      </c>
      <c r="M8" s="107" t="s">
        <v>280</v>
      </c>
      <c r="N8" s="108" t="s">
        <v>291</v>
      </c>
    </row>
    <row r="9" spans="1:14" s="29" customFormat="1" ht="30" customHeight="1" x14ac:dyDescent="0.2">
      <c r="A9" s="5"/>
      <c r="B9" s="109">
        <v>1</v>
      </c>
      <c r="C9" s="208"/>
      <c r="D9" s="95" t="s">
        <v>449</v>
      </c>
      <c r="E9" s="95" t="s">
        <v>87</v>
      </c>
      <c r="F9" s="64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347</v>
      </c>
      <c r="D10" s="95" t="s">
        <v>474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135</v>
      </c>
      <c r="E11" s="95" t="s">
        <v>122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161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162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88"/>
      <c r="G14" s="389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405" t="s">
        <v>34</v>
      </c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7"/>
    </row>
    <row r="16" spans="1:14" s="29" customFormat="1" ht="30" customHeight="1" x14ac:dyDescent="0.2">
      <c r="A16" s="5"/>
      <c r="B16" s="109">
        <v>6</v>
      </c>
      <c r="C16" s="208"/>
      <c r="D16" s="101" t="s">
        <v>146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405" t="s">
        <v>78</v>
      </c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7"/>
    </row>
    <row r="19" spans="1:97" ht="30" customHeight="1" x14ac:dyDescent="0.2">
      <c r="B19" s="109">
        <v>7</v>
      </c>
      <c r="C19" s="208"/>
      <c r="D19" s="101" t="s">
        <v>163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164</v>
      </c>
      <c r="E20" s="95" t="s">
        <v>42</v>
      </c>
      <c r="F20" s="361"/>
      <c r="G20" s="64">
        <v>15</v>
      </c>
      <c r="H20" s="96">
        <v>285.06650000000002</v>
      </c>
      <c r="I20" s="97">
        <f>ROUND(G20*H20,2)</f>
        <v>4276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88"/>
      <c r="G21" s="389"/>
      <c r="H21" s="102"/>
      <c r="I21" s="100">
        <f>SUM(I19:I20)</f>
        <v>10516</v>
      </c>
      <c r="J21" s="145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405" t="s">
        <v>36</v>
      </c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7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165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166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167</v>
      </c>
      <c r="E25" s="95" t="s">
        <v>38</v>
      </c>
      <c r="F25" s="361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168</v>
      </c>
      <c r="E26" s="95" t="s">
        <v>38</v>
      </c>
      <c r="F26" s="361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/>
      <c r="D27" s="101" t="s">
        <v>357</v>
      </c>
      <c r="E27" s="95" t="s">
        <v>38</v>
      </c>
      <c r="F27" s="361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88"/>
      <c r="G28" s="389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405" t="s">
        <v>144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7"/>
    </row>
    <row r="30" spans="1:97" s="5" customFormat="1" ht="30" customHeight="1" x14ac:dyDescent="0.2">
      <c r="B30" s="109">
        <v>14</v>
      </c>
      <c r="C30" s="208"/>
      <c r="D30" s="101" t="s">
        <v>169</v>
      </c>
      <c r="E30" s="95" t="s">
        <v>154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347</v>
      </c>
      <c r="D31" s="101" t="s">
        <v>157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88"/>
      <c r="G32" s="389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408" t="s">
        <v>39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10"/>
    </row>
    <row r="34" spans="1:97" s="79" customFormat="1" ht="30" customHeight="1" x14ac:dyDescent="0.2">
      <c r="A34" s="5"/>
      <c r="B34" s="109">
        <v>16</v>
      </c>
      <c r="C34" s="208" t="s">
        <v>347</v>
      </c>
      <c r="D34" s="101" t="s">
        <v>275</v>
      </c>
      <c r="E34" s="95" t="s">
        <v>276</v>
      </c>
      <c r="F34" s="363"/>
      <c r="G34" s="64">
        <v>15</v>
      </c>
      <c r="H34" s="98">
        <v>315.13299999999998</v>
      </c>
      <c r="I34" s="97">
        <f t="shared" ref="I34:I36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170</v>
      </c>
      <c r="E35" s="95" t="s">
        <v>41</v>
      </c>
      <c r="F35" s="364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347</v>
      </c>
      <c r="D36" s="101" t="s">
        <v>171</v>
      </c>
      <c r="E36" s="95" t="s">
        <v>108</v>
      </c>
      <c r="F36" s="364"/>
      <c r="G36" s="64">
        <v>15</v>
      </c>
      <c r="H36" s="98">
        <v>274.875</v>
      </c>
      <c r="I36" s="97">
        <f t="shared" si="7"/>
        <v>4123.13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292.13</v>
      </c>
      <c r="L36" s="98">
        <f>K36</f>
        <v>292.13</v>
      </c>
      <c r="M36" s="98">
        <f>I36+J36-L36</f>
        <v>3831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88"/>
      <c r="G37" s="389"/>
      <c r="H37" s="211"/>
      <c r="I37" s="100">
        <f>SUM(I34:I36)</f>
        <v>11450.130000000001</v>
      </c>
      <c r="J37" s="100">
        <f>SUM(J34:J36)</f>
        <v>10.39</v>
      </c>
      <c r="K37" s="100">
        <f>SUM(K34:K36)</f>
        <v>649.96</v>
      </c>
      <c r="L37" s="100">
        <f>SUM(L34:L36)</f>
        <v>649.96</v>
      </c>
      <c r="M37" s="100">
        <f>SUM(M34:M36)</f>
        <v>10810.56</v>
      </c>
      <c r="N37" s="112"/>
    </row>
    <row r="38" spans="1:97" ht="30" customHeight="1" x14ac:dyDescent="0.2">
      <c r="B38" s="394" t="s">
        <v>76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6"/>
    </row>
    <row r="39" spans="1:97" ht="30" customHeight="1" x14ac:dyDescent="0.2">
      <c r="B39" s="109">
        <v>19</v>
      </c>
      <c r="C39" s="208"/>
      <c r="D39" s="101" t="s">
        <v>172</v>
      </c>
      <c r="E39" s="95" t="s">
        <v>465</v>
      </c>
      <c r="F39" s="364"/>
      <c r="G39" s="64">
        <v>15</v>
      </c>
      <c r="H39" s="98">
        <v>315.13299999999998</v>
      </c>
      <c r="I39" s="97">
        <f t="shared" ref="I39" si="8">ROUND(G39*H39,2)</f>
        <v>4727</v>
      </c>
      <c r="J39" s="15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88"/>
      <c r="G40" s="389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390" t="s">
        <v>43</v>
      </c>
      <c r="C41" s="391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3"/>
    </row>
    <row r="42" spans="1:97" s="5" customFormat="1" ht="30" customHeight="1" x14ac:dyDescent="0.2">
      <c r="B42" s="109">
        <v>20</v>
      </c>
      <c r="C42" s="208"/>
      <c r="D42" s="101" t="s">
        <v>173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9">ROUND(G42*H42,2)</f>
        <v>4727</v>
      </c>
      <c r="J42" s="152">
        <f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347</v>
      </c>
      <c r="D43" s="101" t="s">
        <v>174</v>
      </c>
      <c r="E43" s="95" t="s">
        <v>42</v>
      </c>
      <c r="F43" s="64"/>
      <c r="G43" s="64">
        <v>15</v>
      </c>
      <c r="H43" s="98">
        <v>231.66650000000001</v>
      </c>
      <c r="I43" s="97">
        <f t="shared" si="9"/>
        <v>3475</v>
      </c>
      <c r="J43" s="144">
        <f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88"/>
      <c r="G44" s="389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4" t="s">
        <v>44</v>
      </c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6"/>
    </row>
    <row r="46" spans="1:97" s="80" customFormat="1" ht="30" customHeight="1" x14ac:dyDescent="0.2">
      <c r="A46" s="28"/>
      <c r="B46" s="109">
        <v>22</v>
      </c>
      <c r="C46" s="208" t="s">
        <v>347</v>
      </c>
      <c r="D46" s="101" t="s">
        <v>175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10">ROUND(G46*H46,2)</f>
        <v>4727</v>
      </c>
      <c r="J46" s="15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176</v>
      </c>
      <c r="E47" s="95" t="s">
        <v>113</v>
      </c>
      <c r="F47" s="361"/>
      <c r="G47" s="64">
        <v>15</v>
      </c>
      <c r="H47" s="98">
        <v>135.6</v>
      </c>
      <c r="I47" s="97">
        <f t="shared" si="10"/>
        <v>2034</v>
      </c>
      <c r="J47" s="150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75.03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2109.0300000000002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88"/>
      <c r="G48" s="389"/>
      <c r="H48" s="211"/>
      <c r="I48" s="100">
        <f>SUM(I46:I47)</f>
        <v>6761</v>
      </c>
      <c r="J48" s="100">
        <f>SUM(J46:J47)</f>
        <v>75.03</v>
      </c>
      <c r="K48" s="100">
        <f>SUM(K46:K47)</f>
        <v>357.83</v>
      </c>
      <c r="L48" s="100">
        <f>SUM(L46:L47)</f>
        <v>357.83</v>
      </c>
      <c r="M48" s="100">
        <f>SUM(M46:M47)</f>
        <v>6478.2000000000007</v>
      </c>
      <c r="N48" s="112"/>
    </row>
    <row r="49" spans="1:97" s="5" customFormat="1" ht="30" customHeight="1" x14ac:dyDescent="0.2">
      <c r="B49" s="394" t="s">
        <v>79</v>
      </c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6"/>
    </row>
    <row r="50" spans="1:97" s="5" customFormat="1" ht="30" customHeight="1" x14ac:dyDescent="0.2">
      <c r="B50" s="109">
        <v>24</v>
      </c>
      <c r="C50" s="208"/>
      <c r="D50" s="101" t="s">
        <v>177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1">ROUND(G50*H50,2)</f>
        <v>4727</v>
      </c>
      <c r="J50" s="150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88"/>
      <c r="G51" s="389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390" t="s">
        <v>45</v>
      </c>
      <c r="C52" s="391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3"/>
    </row>
    <row r="53" spans="1:97" s="79" customFormat="1" ht="30" customHeight="1" x14ac:dyDescent="0.2">
      <c r="A53" s="5"/>
      <c r="B53" s="109">
        <v>25</v>
      </c>
      <c r="C53" s="208" t="s">
        <v>347</v>
      </c>
      <c r="D53" s="101" t="s">
        <v>178</v>
      </c>
      <c r="E53" s="95" t="s">
        <v>82</v>
      </c>
      <c r="F53" s="361"/>
      <c r="G53" s="64">
        <v>15</v>
      </c>
      <c r="H53" s="98">
        <v>167.26650000000001</v>
      </c>
      <c r="I53" s="97">
        <f t="shared" ref="I53" si="12">ROUND(G53*H53,2)</f>
        <v>2509</v>
      </c>
      <c r="J53" s="97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16.22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2525.2199999999998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">
      <c r="B54" s="109"/>
      <c r="C54" s="208"/>
      <c r="D54" s="72"/>
      <c r="E54" s="66" t="s">
        <v>33</v>
      </c>
      <c r="F54" s="66"/>
      <c r="G54" s="64"/>
      <c r="H54" s="211"/>
      <c r="I54" s="100">
        <f>SUM(I53:I53)</f>
        <v>2509</v>
      </c>
      <c r="J54" s="100">
        <f>SUM(J53:J53)</f>
        <v>16.22</v>
      </c>
      <c r="K54" s="145">
        <f>SUM(K53:K53)</f>
        <v>0</v>
      </c>
      <c r="L54" s="145">
        <f>SUM(L53:L53)</f>
        <v>0</v>
      </c>
      <c r="M54" s="100">
        <f>SUM(M53:M53)</f>
        <v>2525.2199999999998</v>
      </c>
      <c r="N54" s="112"/>
    </row>
    <row r="55" spans="1:97" ht="30" customHeight="1" x14ac:dyDescent="0.2">
      <c r="B55" s="394" t="s">
        <v>46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6"/>
    </row>
    <row r="56" spans="1:97" s="5" customFormat="1" ht="30" customHeight="1" x14ac:dyDescent="0.2">
      <c r="B56" s="109">
        <v>26</v>
      </c>
      <c r="C56" s="208"/>
      <c r="D56" s="99" t="s">
        <v>246</v>
      </c>
      <c r="E56" s="95" t="s">
        <v>112</v>
      </c>
      <c r="F56" s="361"/>
      <c r="G56" s="64">
        <v>15</v>
      </c>
      <c r="H56" s="98">
        <v>466.33300000000003</v>
      </c>
      <c r="I56" s="97">
        <f t="shared" ref="I56:I61" si="13">ROUND(G56*H56,2)</f>
        <v>6995</v>
      </c>
      <c r="J56" s="150">
        <f t="shared" ref="J56:J61" si="14"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50">
        <f t="shared" ref="K56:K61" si="15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6">K56</f>
        <v>693.36</v>
      </c>
      <c r="M56" s="98">
        <f t="shared" ref="M56:M61" si="17">I56+J56-L56</f>
        <v>6301.64</v>
      </c>
      <c r="N56" s="113"/>
    </row>
    <row r="57" spans="1:97" ht="30" customHeight="1" x14ac:dyDescent="0.2">
      <c r="B57" s="109">
        <v>27</v>
      </c>
      <c r="C57" s="208"/>
      <c r="D57" s="101" t="s">
        <v>247</v>
      </c>
      <c r="E57" s="95" t="s">
        <v>42</v>
      </c>
      <c r="F57" s="361"/>
      <c r="G57" s="64">
        <v>15</v>
      </c>
      <c r="H57" s="98">
        <v>262</v>
      </c>
      <c r="I57" s="97">
        <f t="shared" si="13"/>
        <v>3930</v>
      </c>
      <c r="J57" s="150">
        <f t="shared" si="14"/>
        <v>0</v>
      </c>
      <c r="K57" s="150">
        <f t="shared" si="15"/>
        <v>271.12</v>
      </c>
      <c r="L57" s="98">
        <f t="shared" si="16"/>
        <v>271.12</v>
      </c>
      <c r="M57" s="98">
        <f t="shared" si="17"/>
        <v>3658.88</v>
      </c>
      <c r="N57" s="113"/>
    </row>
    <row r="58" spans="1:97" ht="30" customHeight="1" x14ac:dyDescent="0.2">
      <c r="B58" s="109">
        <v>28</v>
      </c>
      <c r="C58" s="208"/>
      <c r="D58" s="101" t="s">
        <v>248</v>
      </c>
      <c r="E58" s="95" t="s">
        <v>47</v>
      </c>
      <c r="F58" s="361"/>
      <c r="G58" s="64">
        <v>15</v>
      </c>
      <c r="H58" s="98">
        <v>210.53299999999999</v>
      </c>
      <c r="I58" s="97">
        <f t="shared" si="13"/>
        <v>3158</v>
      </c>
      <c r="J58" s="150">
        <f t="shared" si="14"/>
        <v>0</v>
      </c>
      <c r="K58" s="150">
        <f t="shared" si="15"/>
        <v>0</v>
      </c>
      <c r="L58" s="146">
        <f t="shared" si="16"/>
        <v>0</v>
      </c>
      <c r="M58" s="98">
        <f t="shared" si="17"/>
        <v>3158</v>
      </c>
      <c r="N58" s="113"/>
    </row>
    <row r="59" spans="1:97" ht="30" customHeight="1" x14ac:dyDescent="0.2">
      <c r="B59" s="109">
        <v>29</v>
      </c>
      <c r="C59" s="208" t="s">
        <v>347</v>
      </c>
      <c r="D59" s="101" t="s">
        <v>249</v>
      </c>
      <c r="E59" s="95" t="s">
        <v>48</v>
      </c>
      <c r="F59" s="361"/>
      <c r="G59" s="64">
        <v>15</v>
      </c>
      <c r="H59" s="98">
        <v>264.33300000000003</v>
      </c>
      <c r="I59" s="97">
        <f t="shared" si="13"/>
        <v>3965</v>
      </c>
      <c r="J59" s="150">
        <f t="shared" si="14"/>
        <v>0</v>
      </c>
      <c r="K59" s="150">
        <f t="shared" si="15"/>
        <v>274.93</v>
      </c>
      <c r="L59" s="98">
        <f t="shared" si="16"/>
        <v>274.93</v>
      </c>
      <c r="M59" s="98">
        <f t="shared" si="17"/>
        <v>3690.07</v>
      </c>
      <c r="N59" s="113"/>
    </row>
    <row r="60" spans="1:97" ht="30" customHeight="1" x14ac:dyDescent="0.2">
      <c r="B60" s="109">
        <v>30</v>
      </c>
      <c r="C60" s="208" t="s">
        <v>347</v>
      </c>
      <c r="D60" s="101" t="s">
        <v>250</v>
      </c>
      <c r="E60" s="95" t="s">
        <v>48</v>
      </c>
      <c r="F60" s="361"/>
      <c r="G60" s="64">
        <v>15</v>
      </c>
      <c r="H60" s="98">
        <v>228.66650000000001</v>
      </c>
      <c r="I60" s="97">
        <f t="shared" si="13"/>
        <v>3430</v>
      </c>
      <c r="J60" s="150">
        <f t="shared" si="14"/>
        <v>0</v>
      </c>
      <c r="K60" s="150">
        <f t="shared" si="15"/>
        <v>0</v>
      </c>
      <c r="L60" s="146">
        <f t="shared" si="16"/>
        <v>0</v>
      </c>
      <c r="M60" s="98">
        <f t="shared" si="17"/>
        <v>3430</v>
      </c>
      <c r="N60" s="113"/>
    </row>
    <row r="61" spans="1:97" ht="30" customHeight="1" x14ac:dyDescent="0.2">
      <c r="B61" s="109">
        <v>31</v>
      </c>
      <c r="C61" s="208"/>
      <c r="D61" s="101" t="s">
        <v>251</v>
      </c>
      <c r="E61" s="95" t="s">
        <v>49</v>
      </c>
      <c r="F61" s="361"/>
      <c r="G61" s="64">
        <v>15</v>
      </c>
      <c r="H61" s="98">
        <v>384.8</v>
      </c>
      <c r="I61" s="97">
        <f t="shared" si="13"/>
        <v>5772</v>
      </c>
      <c r="J61" s="150">
        <f t="shared" si="14"/>
        <v>0</v>
      </c>
      <c r="K61" s="150">
        <f t="shared" si="15"/>
        <v>485.93</v>
      </c>
      <c r="L61" s="98">
        <f t="shared" si="16"/>
        <v>485.93</v>
      </c>
      <c r="M61" s="98">
        <f t="shared" si="17"/>
        <v>5286.07</v>
      </c>
      <c r="N61" s="113"/>
    </row>
    <row r="62" spans="1:97" ht="30" customHeight="1" x14ac:dyDescent="0.2">
      <c r="B62" s="109"/>
      <c r="C62" s="208"/>
      <c r="D62" s="72"/>
      <c r="E62" s="66" t="s">
        <v>33</v>
      </c>
      <c r="F62" s="388"/>
      <c r="G62" s="389"/>
      <c r="H62" s="211"/>
      <c r="I62" s="100">
        <f>SUM(I56:I61)</f>
        <v>27250</v>
      </c>
      <c r="J62" s="145">
        <f>SUM(J56:J61)</f>
        <v>0</v>
      </c>
      <c r="K62" s="100">
        <f>SUM(K56:K61)</f>
        <v>1725.3400000000001</v>
      </c>
      <c r="L62" s="100">
        <f>SUM(L56:L61)</f>
        <v>1725.3400000000001</v>
      </c>
      <c r="M62" s="100">
        <f>SUM(M56:M61)</f>
        <v>25524.66</v>
      </c>
      <c r="N62" s="112"/>
    </row>
    <row r="63" spans="1:97" s="5" customFormat="1" ht="30" customHeight="1" x14ac:dyDescent="0.2">
      <c r="B63" s="390" t="s">
        <v>301</v>
      </c>
      <c r="C63" s="391"/>
      <c r="D63" s="392"/>
      <c r="E63" s="392"/>
      <c r="F63" s="392"/>
      <c r="G63" s="392"/>
      <c r="H63" s="392"/>
      <c r="I63" s="392"/>
      <c r="J63" s="392"/>
      <c r="K63" s="392"/>
      <c r="L63" s="392"/>
      <c r="M63" s="392"/>
      <c r="N63" s="393"/>
    </row>
    <row r="64" spans="1:97" s="5" customFormat="1" ht="30" customHeight="1" x14ac:dyDescent="0.2">
      <c r="B64" s="109">
        <v>32</v>
      </c>
      <c r="C64" s="208"/>
      <c r="D64" s="101" t="s">
        <v>245</v>
      </c>
      <c r="E64" s="95" t="s">
        <v>35</v>
      </c>
      <c r="F64" s="64"/>
      <c r="G64" s="64">
        <v>15</v>
      </c>
      <c r="H64" s="98">
        <v>315.13299999999998</v>
      </c>
      <c r="I64" s="97">
        <f>ROUND(G64*H64,2)</f>
        <v>4727</v>
      </c>
      <c r="J64" s="150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">
      <c r="B65" s="109"/>
      <c r="C65" s="208"/>
      <c r="D65" s="72"/>
      <c r="E65" s="66" t="s">
        <v>33</v>
      </c>
      <c r="F65" s="388"/>
      <c r="G65" s="389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">
      <c r="B66" s="394" t="s">
        <v>52</v>
      </c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6"/>
    </row>
    <row r="67" spans="1:97" ht="30" customHeight="1" x14ac:dyDescent="0.2">
      <c r="B67" s="109">
        <v>33</v>
      </c>
      <c r="C67" s="208"/>
      <c r="D67" s="101" t="s">
        <v>244</v>
      </c>
      <c r="E67" s="95" t="s">
        <v>51</v>
      </c>
      <c r="F67" s="361"/>
      <c r="G67" s="64">
        <v>15</v>
      </c>
      <c r="H67" s="98">
        <v>325.86649999999997</v>
      </c>
      <c r="I67" s="97">
        <f>ROUND(G67*H67,2)</f>
        <v>4888</v>
      </c>
      <c r="J67" s="150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">
      <c r="B68" s="109">
        <v>34</v>
      </c>
      <c r="C68" s="208" t="s">
        <v>347</v>
      </c>
      <c r="D68" s="101" t="s">
        <v>479</v>
      </c>
      <c r="E68" s="95" t="s">
        <v>101</v>
      </c>
      <c r="F68" s="361"/>
      <c r="G68" s="64">
        <v>15</v>
      </c>
      <c r="H68" s="98">
        <v>173.333</v>
      </c>
      <c r="I68" s="97">
        <f>ROUND(G68*H68,2)</f>
        <v>2600</v>
      </c>
      <c r="J68" s="150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10.39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">
      <c r="B69" s="109">
        <v>35</v>
      </c>
      <c r="C69" s="208"/>
      <c r="D69" s="101" t="s">
        <v>243</v>
      </c>
      <c r="E69" s="95" t="s">
        <v>111</v>
      </c>
      <c r="F69" s="64"/>
      <c r="G69" s="64">
        <v>15</v>
      </c>
      <c r="H69" s="98">
        <v>143.8664</v>
      </c>
      <c r="I69" s="97">
        <f>ROUND(G69*H69,2)</f>
        <v>2158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67.099999999999994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">
      <c r="B70" s="109"/>
      <c r="C70" s="208"/>
      <c r="D70" s="72"/>
      <c r="E70" s="66" t="s">
        <v>33</v>
      </c>
      <c r="F70" s="388"/>
      <c r="G70" s="389"/>
      <c r="H70" s="211"/>
      <c r="I70" s="100">
        <f>SUM(I67:I69)</f>
        <v>9646</v>
      </c>
      <c r="J70" s="100">
        <f>SUM(J67:J69)</f>
        <v>77.489999999999995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">
      <c r="B71" s="394" t="s">
        <v>53</v>
      </c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6"/>
    </row>
    <row r="72" spans="1:97" s="5" customFormat="1" ht="30" customHeight="1" x14ac:dyDescent="0.2">
      <c r="B72" s="109">
        <v>36</v>
      </c>
      <c r="C72" s="208"/>
      <c r="D72" s="101" t="s">
        <v>143</v>
      </c>
      <c r="E72" s="95" t="s">
        <v>51</v>
      </c>
      <c r="F72" s="361"/>
      <c r="G72" s="64">
        <v>15</v>
      </c>
      <c r="H72" s="98">
        <v>325.8664</v>
      </c>
      <c r="I72" s="97">
        <f>ROUND(G72*H72,2)</f>
        <v>4888</v>
      </c>
      <c r="J72" s="150">
        <f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">
      <c r="A73" s="28"/>
      <c r="B73" s="109">
        <v>37</v>
      </c>
      <c r="C73" s="208"/>
      <c r="D73" s="101" t="s">
        <v>242</v>
      </c>
      <c r="E73" s="95" t="s">
        <v>40</v>
      </c>
      <c r="F73" s="361"/>
      <c r="G73" s="64">
        <v>15</v>
      </c>
      <c r="H73" s="98">
        <v>124.46639999999999</v>
      </c>
      <c r="I73" s="97">
        <f>ROUND(G73*H73,2)</f>
        <v>1867</v>
      </c>
      <c r="J73" s="97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85.72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">
      <c r="B74" s="109"/>
      <c r="C74" s="208"/>
      <c r="D74" s="72"/>
      <c r="E74" s="66" t="s">
        <v>33</v>
      </c>
      <c r="F74" s="388"/>
      <c r="G74" s="389"/>
      <c r="H74" s="211"/>
      <c r="I74" s="100">
        <f>SUM(I72:I73)</f>
        <v>6755</v>
      </c>
      <c r="J74" s="100">
        <f>SUM(J72:J73)</f>
        <v>85.72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">
      <c r="A75" s="28"/>
      <c r="B75" s="390" t="s">
        <v>55</v>
      </c>
      <c r="C75" s="391"/>
      <c r="D75" s="392"/>
      <c r="E75" s="392"/>
      <c r="F75" s="392"/>
      <c r="G75" s="392"/>
      <c r="H75" s="392"/>
      <c r="I75" s="392"/>
      <c r="J75" s="392"/>
      <c r="K75" s="392"/>
      <c r="L75" s="392"/>
      <c r="M75" s="392"/>
      <c r="N75" s="39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>
        <v>38</v>
      </c>
      <c r="C76" s="208" t="s">
        <v>347</v>
      </c>
      <c r="D76" s="101" t="s">
        <v>360</v>
      </c>
      <c r="E76" s="95" t="s">
        <v>51</v>
      </c>
      <c r="F76" s="361"/>
      <c r="G76" s="64">
        <v>15</v>
      </c>
      <c r="H76" s="98">
        <v>278.26650000000001</v>
      </c>
      <c r="I76" s="97">
        <f>ROUND(G76*H76,2)</f>
        <v>4174</v>
      </c>
      <c r="J76" s="144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297.67</v>
      </c>
      <c r="L76" s="98">
        <f>K76</f>
        <v>297.67</v>
      </c>
      <c r="M76" s="98">
        <f>I76+J76-L76</f>
        <v>3876.33</v>
      </c>
      <c r="N76" s="113"/>
    </row>
    <row r="77" spans="1:97" ht="30" customHeight="1" x14ac:dyDescent="0.2">
      <c r="B77" s="109"/>
      <c r="C77" s="208"/>
      <c r="D77" s="73"/>
      <c r="E77" s="66" t="s">
        <v>33</v>
      </c>
      <c r="F77" s="388"/>
      <c r="G77" s="389"/>
      <c r="H77" s="211"/>
      <c r="I77" s="100">
        <f>SUM(I76:I76)</f>
        <v>4174</v>
      </c>
      <c r="J77" s="145">
        <f>SUM(J76:J76)</f>
        <v>0</v>
      </c>
      <c r="K77" s="100">
        <f>SUM(K76:K76)</f>
        <v>297.67</v>
      </c>
      <c r="L77" s="100">
        <f>SUM(L76:L76)</f>
        <v>297.67</v>
      </c>
      <c r="M77" s="100">
        <f>SUM(M76:M76)</f>
        <v>3876.33</v>
      </c>
      <c r="N77" s="112"/>
    </row>
    <row r="78" spans="1:97" s="33" customFormat="1" ht="30" customHeight="1" x14ac:dyDescent="0.2">
      <c r="A78" s="28"/>
      <c r="B78" s="390" t="s">
        <v>50</v>
      </c>
      <c r="C78" s="391"/>
      <c r="D78" s="392"/>
      <c r="E78" s="392"/>
      <c r="F78" s="392"/>
      <c r="G78" s="392"/>
      <c r="H78" s="392"/>
      <c r="I78" s="392"/>
      <c r="J78" s="392"/>
      <c r="K78" s="392"/>
      <c r="L78" s="392"/>
      <c r="M78" s="392"/>
      <c r="N78" s="393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">
      <c r="A79" s="28"/>
      <c r="B79" s="109">
        <v>39</v>
      </c>
      <c r="C79" s="208"/>
      <c r="D79" s="101" t="s">
        <v>263</v>
      </c>
      <c r="E79" s="95" t="s">
        <v>51</v>
      </c>
      <c r="F79" s="361"/>
      <c r="G79" s="64">
        <v>15</v>
      </c>
      <c r="H79" s="98">
        <v>278.26650000000001</v>
      </c>
      <c r="I79" s="97">
        <f>ROUND(G79*H79,2)</f>
        <v>4174</v>
      </c>
      <c r="J79" s="144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297.67</v>
      </c>
      <c r="L79" s="98">
        <f>K79</f>
        <v>297.67</v>
      </c>
      <c r="M79" s="98">
        <f>I79+J79-L79</f>
        <v>3876.33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">
      <c r="B80" s="109"/>
      <c r="C80" s="208"/>
      <c r="D80" s="73"/>
      <c r="E80" s="66" t="s">
        <v>33</v>
      </c>
      <c r="F80" s="388"/>
      <c r="G80" s="389"/>
      <c r="H80" s="211"/>
      <c r="I80" s="100">
        <f>SUM(I79:I79)</f>
        <v>4174</v>
      </c>
      <c r="J80" s="145">
        <f>SUM(J79:J79)</f>
        <v>0</v>
      </c>
      <c r="K80" s="100">
        <f>SUM(K79:K79)</f>
        <v>297.67</v>
      </c>
      <c r="L80" s="100">
        <f>SUM(L79:L79)</f>
        <v>297.67</v>
      </c>
      <c r="M80" s="100">
        <f>SUM(M79:M79)</f>
        <v>3876.33</v>
      </c>
      <c r="N80" s="112"/>
    </row>
    <row r="81" spans="1:97" ht="30" customHeight="1" x14ac:dyDescent="0.2">
      <c r="B81" s="390" t="s">
        <v>57</v>
      </c>
      <c r="C81" s="391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3"/>
    </row>
    <row r="82" spans="1:97" ht="30" customHeight="1" x14ac:dyDescent="0.2">
      <c r="B82" s="109">
        <v>40</v>
      </c>
      <c r="C82" s="208"/>
      <c r="D82" s="101" t="s">
        <v>241</v>
      </c>
      <c r="E82" s="95" t="s">
        <v>58</v>
      </c>
      <c r="F82" s="361"/>
      <c r="G82" s="64">
        <v>15</v>
      </c>
      <c r="H82" s="98">
        <v>214</v>
      </c>
      <c r="I82" s="97">
        <f>ROUND(G82*H82,2)</f>
        <v>3210</v>
      </c>
      <c r="J82" s="144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">
      <c r="A83" s="28"/>
      <c r="B83" s="109">
        <v>41</v>
      </c>
      <c r="C83" s="208" t="s">
        <v>347</v>
      </c>
      <c r="D83" s="101" t="s">
        <v>240</v>
      </c>
      <c r="E83" s="95" t="s">
        <v>68</v>
      </c>
      <c r="F83" s="361"/>
      <c r="G83" s="64">
        <v>15</v>
      </c>
      <c r="H83" s="98">
        <v>229.733</v>
      </c>
      <c r="I83" s="97">
        <f>ROUND(G83*H83,2)</f>
        <v>3446</v>
      </c>
      <c r="J83" s="144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">
      <c r="B85" s="394" t="s">
        <v>59</v>
      </c>
      <c r="C85" s="395"/>
      <c r="D85" s="395"/>
      <c r="E85" s="395"/>
      <c r="F85" s="395"/>
      <c r="G85" s="395"/>
      <c r="H85" s="395"/>
      <c r="I85" s="395"/>
      <c r="J85" s="395"/>
      <c r="K85" s="395"/>
      <c r="L85" s="395"/>
      <c r="M85" s="395"/>
      <c r="N85" s="396"/>
    </row>
    <row r="86" spans="1:97" s="5" customFormat="1" ht="30" customHeight="1" x14ac:dyDescent="0.2">
      <c r="B86" s="109">
        <v>42</v>
      </c>
      <c r="C86" s="208"/>
      <c r="D86" s="99" t="s">
        <v>132</v>
      </c>
      <c r="E86" s="95" t="s">
        <v>35</v>
      </c>
      <c r="F86" s="64"/>
      <c r="G86" s="64">
        <v>15</v>
      </c>
      <c r="H86" s="98">
        <v>598.53300000000002</v>
      </c>
      <c r="I86" s="97">
        <f>ROUND(G86*H86,2)</f>
        <v>8978</v>
      </c>
      <c r="J86" s="144">
        <f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">
      <c r="A87" s="28"/>
      <c r="B87" s="109">
        <v>43</v>
      </c>
      <c r="C87" s="208" t="s">
        <v>347</v>
      </c>
      <c r="D87" s="101" t="s">
        <v>239</v>
      </c>
      <c r="E87" s="95" t="s">
        <v>42</v>
      </c>
      <c r="F87" s="361"/>
      <c r="G87" s="64">
        <v>15</v>
      </c>
      <c r="H87" s="98">
        <v>173.333</v>
      </c>
      <c r="I87" s="97">
        <f>ROUND(G87*H87,2)</f>
        <v>2600</v>
      </c>
      <c r="J87" s="97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10.39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s="5" customFormat="1" ht="30" customHeight="1" x14ac:dyDescent="0.2">
      <c r="B88" s="109">
        <v>44</v>
      </c>
      <c r="C88" s="208" t="s">
        <v>347</v>
      </c>
      <c r="D88" s="99" t="s">
        <v>470</v>
      </c>
      <c r="E88" s="95" t="s">
        <v>469</v>
      </c>
      <c r="F88" s="64"/>
      <c r="G88" s="64">
        <v>15</v>
      </c>
      <c r="H88" s="98">
        <v>303</v>
      </c>
      <c r="I88" s="97">
        <f>ROUND(G88*H88,2)</f>
        <v>4545</v>
      </c>
      <c r="J88" s="144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338.03</v>
      </c>
      <c r="L88" s="98">
        <f>K88</f>
        <v>338.03</v>
      </c>
      <c r="M88" s="98">
        <f>I88+J88-L88</f>
        <v>4206.97</v>
      </c>
      <c r="N88" s="113"/>
    </row>
    <row r="89" spans="1:97" ht="30" customHeight="1" x14ac:dyDescent="0.2">
      <c r="B89" s="109"/>
      <c r="C89" s="208"/>
      <c r="D89" s="72"/>
      <c r="E89" s="66" t="s">
        <v>33</v>
      </c>
      <c r="F89" s="388"/>
      <c r="G89" s="389"/>
      <c r="H89" s="211"/>
      <c r="I89" s="100">
        <f>SUM(I86:I88)</f>
        <v>16123</v>
      </c>
      <c r="J89" s="100">
        <f t="shared" ref="J89:M89" si="18">SUM(J86:J88)</f>
        <v>10.39</v>
      </c>
      <c r="K89" s="100">
        <f t="shared" si="18"/>
        <v>1432.71</v>
      </c>
      <c r="L89" s="100">
        <f t="shared" si="18"/>
        <v>1432.71</v>
      </c>
      <c r="M89" s="100">
        <f t="shared" si="18"/>
        <v>14700.68</v>
      </c>
      <c r="N89" s="112"/>
    </row>
    <row r="90" spans="1:97" ht="30" customHeight="1" x14ac:dyDescent="0.2">
      <c r="B90" s="390" t="s">
        <v>75</v>
      </c>
      <c r="C90" s="391"/>
      <c r="D90" s="392"/>
      <c r="E90" s="392"/>
      <c r="F90" s="392"/>
      <c r="G90" s="392"/>
      <c r="H90" s="392"/>
      <c r="I90" s="392"/>
      <c r="J90" s="392"/>
      <c r="K90" s="392"/>
      <c r="L90" s="392"/>
      <c r="M90" s="392"/>
      <c r="N90" s="393"/>
    </row>
    <row r="91" spans="1:97" ht="30" customHeight="1" x14ac:dyDescent="0.2">
      <c r="B91" s="109">
        <v>45</v>
      </c>
      <c r="C91" s="208"/>
      <c r="D91" s="101" t="s">
        <v>238</v>
      </c>
      <c r="E91" s="95" t="s">
        <v>35</v>
      </c>
      <c r="F91" s="361"/>
      <c r="G91" s="64">
        <v>15</v>
      </c>
      <c r="H91" s="98">
        <v>315.13299999999998</v>
      </c>
      <c r="I91" s="97">
        <f>ROUND(G91*H91,2)</f>
        <v>4727</v>
      </c>
      <c r="J91" s="144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98">
        <f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357.83</v>
      </c>
      <c r="L91" s="98">
        <f>K91</f>
        <v>357.83</v>
      </c>
      <c r="M91" s="98">
        <f>I91+J91-L91</f>
        <v>4369.17</v>
      </c>
      <c r="N91" s="113"/>
    </row>
    <row r="92" spans="1:97" ht="30" customHeight="1" x14ac:dyDescent="0.2">
      <c r="B92" s="109"/>
      <c r="C92" s="208"/>
      <c r="D92" s="72"/>
      <c r="E92" s="66" t="s">
        <v>33</v>
      </c>
      <c r="F92" s="200"/>
      <c r="G92" s="201"/>
      <c r="H92" s="211"/>
      <c r="I92" s="100">
        <f>SUM(I91:I91)</f>
        <v>4727</v>
      </c>
      <c r="J92" s="145">
        <f>SUM(J91:J91)</f>
        <v>0</v>
      </c>
      <c r="K92" s="100">
        <f>SUM(K91:K91)</f>
        <v>357.83</v>
      </c>
      <c r="L92" s="100">
        <f>SUM(L91:L91)</f>
        <v>357.83</v>
      </c>
      <c r="M92" s="100">
        <f>SUM(M91:M91)</f>
        <v>4369.17</v>
      </c>
      <c r="N92" s="112"/>
    </row>
    <row r="93" spans="1:97" ht="30" customHeight="1" x14ac:dyDescent="0.2">
      <c r="B93" s="390" t="s">
        <v>84</v>
      </c>
      <c r="C93" s="391"/>
      <c r="D93" s="392"/>
      <c r="E93" s="392"/>
      <c r="F93" s="392"/>
      <c r="G93" s="392"/>
      <c r="H93" s="392"/>
      <c r="I93" s="392"/>
      <c r="J93" s="392"/>
      <c r="K93" s="392"/>
      <c r="L93" s="392"/>
      <c r="M93" s="392"/>
      <c r="N93" s="393"/>
    </row>
    <row r="94" spans="1:97" s="80" customFormat="1" ht="30" customHeight="1" x14ac:dyDescent="0.2">
      <c r="A94" s="28"/>
      <c r="B94" s="109">
        <v>46</v>
      </c>
      <c r="C94" s="208" t="s">
        <v>347</v>
      </c>
      <c r="D94" s="101" t="s">
        <v>237</v>
      </c>
      <c r="E94" s="95" t="s">
        <v>35</v>
      </c>
      <c r="F94" s="361"/>
      <c r="G94" s="64">
        <v>15</v>
      </c>
      <c r="H94" s="98">
        <v>466.33300000000003</v>
      </c>
      <c r="I94" s="97">
        <f>ROUND(G94*H94,2)</f>
        <v>6995</v>
      </c>
      <c r="J94" s="144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98">
        <f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693.36</v>
      </c>
      <c r="L94" s="98">
        <f>K94</f>
        <v>693.36</v>
      </c>
      <c r="M94" s="98">
        <f>I94+J94-L94</f>
        <v>6301.64</v>
      </c>
      <c r="N94" s="113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</row>
    <row r="95" spans="1:97" ht="30" customHeight="1" x14ac:dyDescent="0.2">
      <c r="B95" s="109"/>
      <c r="C95" s="208"/>
      <c r="D95" s="72"/>
      <c r="E95" s="66" t="s">
        <v>33</v>
      </c>
      <c r="F95" s="388"/>
      <c r="G95" s="389"/>
      <c r="H95" s="211"/>
      <c r="I95" s="100">
        <f>SUM(I94:I94)</f>
        <v>6995</v>
      </c>
      <c r="J95" s="144">
        <f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0</v>
      </c>
      <c r="K95" s="100">
        <f>SUM(K94:K94)</f>
        <v>693.36</v>
      </c>
      <c r="L95" s="100">
        <f>SUM(L94:L94)</f>
        <v>693.36</v>
      </c>
      <c r="M95" s="100">
        <f>SUM(M94:M94)</f>
        <v>6301.64</v>
      </c>
      <c r="N95" s="112"/>
    </row>
    <row r="96" spans="1:97" ht="14.25" customHeight="1" x14ac:dyDescent="0.2">
      <c r="B96" s="402"/>
      <c r="C96" s="403"/>
      <c r="D96" s="403"/>
      <c r="E96" s="403"/>
      <c r="F96" s="403"/>
      <c r="G96" s="403"/>
      <c r="H96" s="403"/>
      <c r="I96" s="403"/>
      <c r="J96" s="403"/>
      <c r="K96" s="403"/>
      <c r="L96" s="403"/>
      <c r="M96" s="403"/>
      <c r="N96" s="404"/>
    </row>
    <row r="97" spans="2:14" ht="20.25" customHeight="1" x14ac:dyDescent="0.2">
      <c r="B97" s="399" t="s">
        <v>17</v>
      </c>
      <c r="C97" s="400"/>
      <c r="D97" s="401"/>
      <c r="E97" s="401"/>
      <c r="F97" s="401"/>
      <c r="G97" s="401"/>
      <c r="H97" s="401"/>
      <c r="I97" s="100">
        <f t="shared" ref="I97:N97" si="19">+I14+I17+I21+I28+I32+I37+I40+I44+I48+I51+I54+I62+I65+I70+I74+I77+I84+I89+I92+I95+I80</f>
        <v>223413.13</v>
      </c>
      <c r="J97" s="100">
        <f t="shared" si="19"/>
        <v>275.24</v>
      </c>
      <c r="K97" s="100">
        <f t="shared" si="19"/>
        <v>17761.140000000003</v>
      </c>
      <c r="L97" s="100">
        <f t="shared" si="19"/>
        <v>17761.140000000003</v>
      </c>
      <c r="M97" s="100">
        <f t="shared" si="19"/>
        <v>205927.23</v>
      </c>
      <c r="N97" s="100">
        <f t="shared" si="19"/>
        <v>0</v>
      </c>
    </row>
    <row r="98" spans="2:14" ht="20.100000000000001" customHeight="1" x14ac:dyDescent="0.2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13.5" x14ac:dyDescent="0.2">
      <c r="B102" s="91"/>
      <c r="C102" s="5"/>
      <c r="D102" s="387" t="s">
        <v>480</v>
      </c>
      <c r="E102" s="387"/>
      <c r="F102" s="5"/>
      <c r="G102" s="5"/>
      <c r="H102" s="5"/>
      <c r="I102" s="32"/>
      <c r="L102" s="90" t="s">
        <v>289</v>
      </c>
      <c r="M102" s="90"/>
      <c r="N102" s="89"/>
    </row>
    <row r="103" spans="2:14" ht="13.5" thickBot="1" x14ac:dyDescent="0.25">
      <c r="B103" s="92"/>
      <c r="C103" s="93"/>
      <c r="D103" s="397" t="s">
        <v>288</v>
      </c>
      <c r="E103" s="397"/>
      <c r="F103" s="93"/>
      <c r="G103" s="93"/>
      <c r="H103" s="93"/>
      <c r="I103" s="94"/>
      <c r="J103" s="127"/>
      <c r="K103" s="127"/>
      <c r="L103" s="397" t="s">
        <v>290</v>
      </c>
      <c r="M103" s="397"/>
      <c r="N103" s="398"/>
    </row>
    <row r="104" spans="2:14" x14ac:dyDescent="0.2">
      <c r="N104" s="24"/>
    </row>
    <row r="106" spans="2:14" x14ac:dyDescent="0.2">
      <c r="L106" s="25" t="s">
        <v>90</v>
      </c>
      <c r="M106" s="147">
        <f>M10+M31+M34+M36+M43+M46+M53+M59+M60+M68+M76+M83+M87+M88+M94</f>
        <v>56811.55</v>
      </c>
      <c r="N106" s="268"/>
    </row>
    <row r="107" spans="2:14" x14ac:dyDescent="0.2">
      <c r="L107" s="25" t="s">
        <v>91</v>
      </c>
      <c r="M107" s="147">
        <f>M9+M11+M12+M13+M16+M19+M20+M23+M24+M25+M26+M30+M35+M39+M42+M47+M50+M56+M57+M58+M61+M64+M72+M73+M79+M82+M86+M91+M27+M67+M69</f>
        <v>149115.68000000002</v>
      </c>
    </row>
    <row r="108" spans="2:14" x14ac:dyDescent="0.2">
      <c r="E108" s="35" t="s">
        <v>344</v>
      </c>
      <c r="M108" s="147">
        <f>SUM(M106:M107)</f>
        <v>205927.23000000004</v>
      </c>
    </row>
    <row r="110" spans="2:14" x14ac:dyDescent="0.2">
      <c r="L110" s="25" t="s">
        <v>297</v>
      </c>
      <c r="M110" s="148">
        <f>M97-M108</f>
        <v>0</v>
      </c>
    </row>
  </sheetData>
  <mergeCells count="46">
    <mergeCell ref="E2:K2"/>
    <mergeCell ref="E5:K5"/>
    <mergeCell ref="L5:N5"/>
    <mergeCell ref="F14:G14"/>
    <mergeCell ref="D7:J7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D103:E103"/>
    <mergeCell ref="L103:N103"/>
    <mergeCell ref="F95:G95"/>
    <mergeCell ref="F89:G89"/>
    <mergeCell ref="B97:H97"/>
    <mergeCell ref="B93:N93"/>
    <mergeCell ref="B90:N90"/>
    <mergeCell ref="B96:N96"/>
    <mergeCell ref="D102:E102"/>
    <mergeCell ref="B85:N85"/>
    <mergeCell ref="B71:N71"/>
    <mergeCell ref="F51:G51"/>
    <mergeCell ref="F70:G70"/>
    <mergeCell ref="F62:G62"/>
    <mergeCell ref="F65:G65"/>
    <mergeCell ref="B52:N52"/>
    <mergeCell ref="B63:N63"/>
    <mergeCell ref="F48:G48"/>
    <mergeCell ref="B78:N78"/>
    <mergeCell ref="F80:G80"/>
    <mergeCell ref="B75:N75"/>
    <mergeCell ref="B81:N81"/>
    <mergeCell ref="F77:G77"/>
    <mergeCell ref="F74:G74"/>
    <mergeCell ref="B49:N49"/>
    <mergeCell ref="B66:N66"/>
    <mergeCell ref="B55:N55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1"/>
  <sheetViews>
    <sheetView showGridLines="0" topLeftCell="A136" zoomScale="80" zoomScaleNormal="80" workbookViewId="0">
      <selection activeCell="F142" sqref="F142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411" t="s">
        <v>294</v>
      </c>
      <c r="F2" s="411"/>
      <c r="G2" s="411"/>
      <c r="H2" s="411"/>
      <c r="I2" s="411"/>
      <c r="J2" s="411"/>
      <c r="K2" s="411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411" t="s">
        <v>296</v>
      </c>
      <c r="F5" s="411"/>
      <c r="G5" s="411"/>
      <c r="H5" s="411"/>
      <c r="I5" s="411"/>
      <c r="J5" s="411"/>
      <c r="K5" s="411"/>
      <c r="L5" s="413"/>
      <c r="M5" s="413"/>
      <c r="N5" s="414"/>
      <c r="O5" s="48"/>
    </row>
    <row r="6" spans="1:15" ht="36.75" customHeight="1" thickBot="1" x14ac:dyDescent="0.25">
      <c r="B6" s="138"/>
      <c r="C6" s="47"/>
      <c r="D6" s="429" t="s">
        <v>475</v>
      </c>
      <c r="E6" s="429"/>
      <c r="F6" s="429"/>
      <c r="G6" s="429"/>
      <c r="H6" s="429"/>
      <c r="I6" s="429"/>
      <c r="J6" s="429"/>
      <c r="K6" s="139"/>
      <c r="L6" s="139"/>
      <c r="M6" s="139"/>
      <c r="N6" s="140"/>
      <c r="O6" s="48"/>
    </row>
    <row r="7" spans="1:15" ht="30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104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347</v>
      </c>
      <c r="D8" s="203" t="s">
        <v>126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347</v>
      </c>
      <c r="D9" s="203" t="s">
        <v>391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4">ROUND(G9*H9,2)</f>
        <v>3406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3406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180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347</v>
      </c>
      <c r="D11" s="203" t="s">
        <v>181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347</v>
      </c>
      <c r="D12" s="203" t="s">
        <v>152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347</v>
      </c>
      <c r="D13" s="203" t="s">
        <v>486</v>
      </c>
      <c r="E13" s="203" t="s">
        <v>487</v>
      </c>
      <c r="F13" s="74"/>
      <c r="G13" s="204">
        <v>15</v>
      </c>
      <c r="H13" s="196">
        <v>132.93299999999999</v>
      </c>
      <c r="I13" s="118">
        <v>1994</v>
      </c>
      <c r="J13" s="153">
        <v>77.59</v>
      </c>
      <c r="K13" s="153">
        <v>0</v>
      </c>
      <c r="L13" s="153">
        <v>0</v>
      </c>
      <c r="M13" s="118"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347</v>
      </c>
      <c r="D14" s="203" t="s">
        <v>182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347</v>
      </c>
      <c r="D15" s="203" t="s">
        <v>264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385</v>
      </c>
      <c r="E16" s="213" t="s">
        <v>271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347</v>
      </c>
      <c r="D17" s="203" t="s">
        <v>457</v>
      </c>
      <c r="E17" s="203" t="s">
        <v>455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2794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25"/>
      <c r="G18" s="427"/>
      <c r="H18" s="426"/>
      <c r="I18" s="119">
        <f>SUM(I8:I17)</f>
        <v>34150</v>
      </c>
      <c r="J18" s="119">
        <f t="shared" ref="J18:M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 t="shared" si="10"/>
        <v>33082.67</v>
      </c>
      <c r="N18" s="123">
        <f>SUM(N8:N16)</f>
        <v>0</v>
      </c>
      <c r="O18" s="85"/>
    </row>
    <row r="19" spans="1:15" ht="30" customHeight="1" x14ac:dyDescent="0.2">
      <c r="B19" s="417" t="s">
        <v>88</v>
      </c>
      <c r="C19" s="418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20"/>
      <c r="O19" s="48"/>
    </row>
    <row r="20" spans="1:15" ht="30" customHeight="1" x14ac:dyDescent="0.2">
      <c r="B20" s="202">
        <v>11</v>
      </c>
      <c r="C20" s="212"/>
      <c r="D20" s="203" t="s">
        <v>183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25"/>
      <c r="G21" s="427"/>
      <c r="H21" s="426"/>
      <c r="I21" s="119">
        <f>+I20</f>
        <v>8602</v>
      </c>
      <c r="J21" s="154">
        <f t="shared" ref="J21:N21" si="11">+J20</f>
        <v>0</v>
      </c>
      <c r="K21" s="119">
        <f t="shared" si="11"/>
        <v>1014.36</v>
      </c>
      <c r="L21" s="119">
        <f t="shared" si="11"/>
        <v>1014.36</v>
      </c>
      <c r="M21" s="119">
        <f t="shared" si="11"/>
        <v>7587.64</v>
      </c>
      <c r="N21" s="123">
        <f t="shared" si="11"/>
        <v>0</v>
      </c>
      <c r="O21" s="48"/>
    </row>
    <row r="22" spans="1:15" s="315" customFormat="1" ht="30" customHeight="1" x14ac:dyDescent="0.2">
      <c r="A22" s="28"/>
      <c r="B22" s="417" t="s">
        <v>34</v>
      </c>
      <c r="C22" s="418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20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184</v>
      </c>
      <c r="E23" s="203" t="s">
        <v>120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185</v>
      </c>
      <c r="E24" s="203" t="s">
        <v>121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272</v>
      </c>
      <c r="E25" s="203" t="s">
        <v>147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/>
      <c r="D26" s="203" t="s">
        <v>351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25"/>
      <c r="G27" s="427"/>
      <c r="H27" s="426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17" t="s">
        <v>36</v>
      </c>
      <c r="C28" s="418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20"/>
      <c r="O28" s="48"/>
    </row>
    <row r="29" spans="1:15" ht="30" customHeight="1" x14ac:dyDescent="0.2">
      <c r="B29" s="202">
        <v>16</v>
      </c>
      <c r="C29" s="212"/>
      <c r="D29" s="203" t="s">
        <v>186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2">ROUND(G29*H29,2)</f>
        <v>4436</v>
      </c>
      <c r="J29" s="153">
        <f t="shared" ref="J29:J33" si="13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4" si="14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4" si="15">K29</f>
        <v>326.17</v>
      </c>
      <c r="M29" s="118">
        <f t="shared" ref="M29:M32" si="16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187</v>
      </c>
      <c r="E30" s="203" t="s">
        <v>102</v>
      </c>
      <c r="F30" s="74"/>
      <c r="G30" s="204">
        <v>15</v>
      </c>
      <c r="H30" s="196">
        <v>197.2</v>
      </c>
      <c r="I30" s="118">
        <f t="shared" si="12"/>
        <v>2958</v>
      </c>
      <c r="J30" s="153">
        <f t="shared" si="13"/>
        <v>0</v>
      </c>
      <c r="K30" s="153">
        <f t="shared" si="14"/>
        <v>0</v>
      </c>
      <c r="L30" s="153">
        <f t="shared" si="15"/>
        <v>0</v>
      </c>
      <c r="M30" s="118">
        <f t="shared" si="16"/>
        <v>2958</v>
      </c>
      <c r="N30" s="122"/>
      <c r="O30" s="48"/>
    </row>
    <row r="31" spans="1:15" ht="30" customHeight="1" x14ac:dyDescent="0.2">
      <c r="B31" s="202">
        <v>18</v>
      </c>
      <c r="C31" s="212" t="s">
        <v>347</v>
      </c>
      <c r="D31" s="203" t="s">
        <v>188</v>
      </c>
      <c r="E31" s="203" t="s">
        <v>54</v>
      </c>
      <c r="F31" s="204"/>
      <c r="G31" s="204">
        <v>15</v>
      </c>
      <c r="H31" s="196">
        <v>104</v>
      </c>
      <c r="I31" s="118">
        <f t="shared" si="12"/>
        <v>1560</v>
      </c>
      <c r="J31" s="118">
        <f t="shared" si="13"/>
        <v>117.29</v>
      </c>
      <c r="K31" s="153">
        <f t="shared" si="14"/>
        <v>0</v>
      </c>
      <c r="L31" s="153">
        <f t="shared" si="15"/>
        <v>0</v>
      </c>
      <c r="M31" s="118">
        <f t="shared" si="16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189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2"/>
        <v>2252.91</v>
      </c>
      <c r="J32" s="118">
        <f t="shared" si="13"/>
        <v>47.09</v>
      </c>
      <c r="K32" s="153">
        <f t="shared" si="14"/>
        <v>0</v>
      </c>
      <c r="L32" s="153">
        <f t="shared" si="15"/>
        <v>0</v>
      </c>
      <c r="M32" s="118">
        <f t="shared" si="16"/>
        <v>2300</v>
      </c>
      <c r="N32" s="122"/>
      <c r="O32" s="48"/>
    </row>
    <row r="33" spans="2:15" ht="30" customHeight="1" x14ac:dyDescent="0.2">
      <c r="B33" s="202">
        <v>20</v>
      </c>
      <c r="C33" s="212" t="s">
        <v>347</v>
      </c>
      <c r="D33" s="203" t="s">
        <v>268</v>
      </c>
      <c r="E33" s="203" t="s">
        <v>269</v>
      </c>
      <c r="F33" s="74"/>
      <c r="G33" s="204">
        <v>15</v>
      </c>
      <c r="H33" s="196">
        <v>466.33300000000003</v>
      </c>
      <c r="I33" s="118">
        <f t="shared" si="12"/>
        <v>6995</v>
      </c>
      <c r="J33" s="153">
        <f t="shared" si="13"/>
        <v>0</v>
      </c>
      <c r="K33" s="118">
        <f t="shared" si="14"/>
        <v>693.36</v>
      </c>
      <c r="L33" s="118">
        <f t="shared" si="15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 t="s">
        <v>347</v>
      </c>
      <c r="D34" s="203" t="s">
        <v>466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7">ROUND(G34*H34,2)</f>
        <v>3350</v>
      </c>
      <c r="J34" s="153">
        <f t="shared" ref="J34" si="18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3">
        <f t="shared" si="14"/>
        <v>0</v>
      </c>
      <c r="L34" s="153">
        <f t="shared" si="15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25"/>
      <c r="G35" s="427"/>
      <c r="H35" s="426"/>
      <c r="I35" s="119">
        <f>SUM(I29:I34)</f>
        <v>21551.91</v>
      </c>
      <c r="J35" s="119">
        <f t="shared" ref="J35:M35" si="19">SUM(J29:J34)</f>
        <v>164.38</v>
      </c>
      <c r="K35" s="119">
        <f t="shared" si="19"/>
        <v>1019.53</v>
      </c>
      <c r="L35" s="119">
        <f t="shared" si="19"/>
        <v>1019.53</v>
      </c>
      <c r="M35" s="119">
        <f t="shared" si="19"/>
        <v>20696.759999999998</v>
      </c>
      <c r="N35" s="123">
        <f t="shared" ref="N35" si="20">SUM(N29:N33)</f>
        <v>0</v>
      </c>
      <c r="O35" s="48"/>
    </row>
    <row r="36" spans="2:15" ht="30" customHeight="1" x14ac:dyDescent="0.2">
      <c r="B36" s="417" t="s">
        <v>39</v>
      </c>
      <c r="C36" s="418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20"/>
      <c r="O36" s="48"/>
    </row>
    <row r="37" spans="2:15" ht="30" customHeight="1" x14ac:dyDescent="0.2">
      <c r="B37" s="202">
        <v>22</v>
      </c>
      <c r="C37" s="212"/>
      <c r="D37" s="203" t="s">
        <v>386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21">ROUND(G37*H37,2)</f>
        <v>1560</v>
      </c>
      <c r="J37" s="118">
        <f t="shared" ref="J37:J41" si="22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117.29</v>
      </c>
      <c r="K37" s="153">
        <f t="shared" ref="K37:K41" si="23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24">K37</f>
        <v>0</v>
      </c>
      <c r="M37" s="118">
        <f t="shared" ref="M37:M41" si="25">I37+J37-L37</f>
        <v>1677.29</v>
      </c>
      <c r="N37" s="122"/>
      <c r="O37" s="48"/>
    </row>
    <row r="38" spans="2:15" ht="30" customHeight="1" x14ac:dyDescent="0.2">
      <c r="B38" s="202">
        <v>23</v>
      </c>
      <c r="C38" s="212" t="s">
        <v>347</v>
      </c>
      <c r="D38" s="203" t="s">
        <v>190</v>
      </c>
      <c r="E38" s="203" t="s">
        <v>42</v>
      </c>
      <c r="F38" s="74"/>
      <c r="G38" s="204">
        <v>15</v>
      </c>
      <c r="H38" s="196">
        <v>124.8</v>
      </c>
      <c r="I38" s="118">
        <f t="shared" si="21"/>
        <v>1872</v>
      </c>
      <c r="J38" s="118">
        <f t="shared" si="22"/>
        <v>85.4</v>
      </c>
      <c r="K38" s="153">
        <f t="shared" si="23"/>
        <v>0</v>
      </c>
      <c r="L38" s="153">
        <f t="shared" si="24"/>
        <v>0</v>
      </c>
      <c r="M38" s="118">
        <f t="shared" si="25"/>
        <v>1957.4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191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21"/>
        <v>2272</v>
      </c>
      <c r="J39" s="118">
        <f t="shared" si="22"/>
        <v>45.87</v>
      </c>
      <c r="K39" s="153">
        <f t="shared" si="23"/>
        <v>0</v>
      </c>
      <c r="L39" s="153">
        <f t="shared" si="24"/>
        <v>0</v>
      </c>
      <c r="M39" s="118">
        <f t="shared" si="25"/>
        <v>2317.87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277</v>
      </c>
      <c r="E40" s="203" t="s">
        <v>278</v>
      </c>
      <c r="F40" s="204"/>
      <c r="G40" s="204">
        <v>15</v>
      </c>
      <c r="H40" s="196">
        <v>169.815</v>
      </c>
      <c r="I40" s="118">
        <f t="shared" si="21"/>
        <v>2547.23</v>
      </c>
      <c r="J40" s="118">
        <f t="shared" si="22"/>
        <v>13.77</v>
      </c>
      <c r="K40" s="153">
        <f t="shared" si="23"/>
        <v>0</v>
      </c>
      <c r="L40" s="153">
        <f t="shared" si="24"/>
        <v>0</v>
      </c>
      <c r="M40" s="118">
        <f t="shared" si="25"/>
        <v>2561</v>
      </c>
      <c r="N40" s="122"/>
      <c r="O40" s="48"/>
    </row>
    <row r="41" spans="2:15" ht="30" customHeight="1" x14ac:dyDescent="0.2">
      <c r="B41" s="202">
        <v>26</v>
      </c>
      <c r="C41" s="212" t="s">
        <v>347</v>
      </c>
      <c r="D41" s="203" t="s">
        <v>456</v>
      </c>
      <c r="E41" s="203" t="s">
        <v>278</v>
      </c>
      <c r="F41" s="204"/>
      <c r="G41" s="204">
        <v>15</v>
      </c>
      <c r="H41" s="196">
        <v>186.26650000000001</v>
      </c>
      <c r="I41" s="118">
        <f t="shared" si="21"/>
        <v>2794</v>
      </c>
      <c r="J41" s="153">
        <f t="shared" si="22"/>
        <v>0</v>
      </c>
      <c r="K41" s="153">
        <f t="shared" si="23"/>
        <v>0</v>
      </c>
      <c r="L41" s="153">
        <f t="shared" si="24"/>
        <v>0</v>
      </c>
      <c r="M41" s="118">
        <f t="shared" si="25"/>
        <v>2794</v>
      </c>
      <c r="N41" s="122"/>
      <c r="O41" s="48"/>
    </row>
    <row r="42" spans="2:15" ht="30" customHeight="1" x14ac:dyDescent="0.2">
      <c r="B42" s="202">
        <v>27</v>
      </c>
      <c r="C42" s="212" t="s">
        <v>347</v>
      </c>
      <c r="D42" s="203" t="s">
        <v>467</v>
      </c>
      <c r="E42" s="203" t="s">
        <v>278</v>
      </c>
      <c r="F42" s="204"/>
      <c r="G42" s="204">
        <v>15</v>
      </c>
      <c r="H42" s="196">
        <v>180</v>
      </c>
      <c r="I42" s="118">
        <f t="shared" ref="I42" si="26">ROUND(G42*H42,2)</f>
        <v>2700</v>
      </c>
      <c r="J42" s="153">
        <f t="shared" ref="J42" si="27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3">
        <f t="shared" ref="K42" si="28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29">K42</f>
        <v>0</v>
      </c>
      <c r="M42" s="118">
        <f t="shared" ref="M42" si="30">I42+J42-L42</f>
        <v>2700</v>
      </c>
      <c r="N42" s="122"/>
      <c r="O42" s="48"/>
    </row>
    <row r="43" spans="2:15" ht="30" customHeight="1" x14ac:dyDescent="0.2">
      <c r="B43" s="202">
        <v>28</v>
      </c>
      <c r="C43" s="212" t="s">
        <v>347</v>
      </c>
      <c r="D43" s="203" t="s">
        <v>483</v>
      </c>
      <c r="E43" s="203" t="s">
        <v>484</v>
      </c>
      <c r="F43" s="204"/>
      <c r="G43" s="204">
        <v>5</v>
      </c>
      <c r="H43" s="196">
        <v>193.333</v>
      </c>
      <c r="I43" s="118">
        <f t="shared" ref="I43" si="31">ROUND(G43*H43,2)</f>
        <v>966.67</v>
      </c>
      <c r="J43" s="153">
        <f t="shared" ref="J43" si="32"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53">
        <f t="shared" ref="K43" si="33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" si="34">K43</f>
        <v>0</v>
      </c>
      <c r="M43" s="118">
        <f t="shared" ref="M43" si="35">I43+J43-L43</f>
        <v>966.67</v>
      </c>
      <c r="N43" s="122"/>
      <c r="O43" s="48"/>
    </row>
    <row r="44" spans="2:15" ht="30" customHeight="1" x14ac:dyDescent="0.2">
      <c r="B44" s="202"/>
      <c r="C44" s="212"/>
      <c r="D44" s="203"/>
      <c r="E44" s="214" t="s">
        <v>33</v>
      </c>
      <c r="F44" s="425"/>
      <c r="G44" s="427"/>
      <c r="H44" s="426"/>
      <c r="I44" s="119">
        <f>SUM(I37:I43)</f>
        <v>14711.9</v>
      </c>
      <c r="J44" s="119">
        <f t="shared" ref="J44:M44" si="36">SUM(J37:J43)</f>
        <v>262.33</v>
      </c>
      <c r="K44" s="154">
        <f t="shared" si="36"/>
        <v>0</v>
      </c>
      <c r="L44" s="154">
        <f t="shared" si="36"/>
        <v>0</v>
      </c>
      <c r="M44" s="119">
        <f t="shared" si="36"/>
        <v>14974.23</v>
      </c>
      <c r="N44" s="123">
        <f>SUM(N37:N40)</f>
        <v>0</v>
      </c>
      <c r="O44" s="48"/>
    </row>
    <row r="45" spans="2:15" ht="30" customHeight="1" x14ac:dyDescent="0.2">
      <c r="B45" s="417" t="s">
        <v>43</v>
      </c>
      <c r="C45" s="418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20"/>
      <c r="O45" s="48"/>
    </row>
    <row r="46" spans="2:15" ht="30" customHeight="1" x14ac:dyDescent="0.2">
      <c r="B46" s="202">
        <v>29</v>
      </c>
      <c r="C46" s="212" t="s">
        <v>347</v>
      </c>
      <c r="D46" s="203" t="s">
        <v>192</v>
      </c>
      <c r="E46" s="203" t="s">
        <v>62</v>
      </c>
      <c r="F46" s="74"/>
      <c r="G46" s="204">
        <v>15</v>
      </c>
      <c r="H46" s="196">
        <v>128.13300000000001</v>
      </c>
      <c r="I46" s="118">
        <f>ROUND(G46*H46,2)</f>
        <v>1922</v>
      </c>
      <c r="J46" s="118">
        <f t="shared" ref="J46:J58" si="37"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82.2</v>
      </c>
      <c r="K46" s="153">
        <f t="shared" ref="K46:K60" si="38"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53">
        <f t="shared" ref="L46:L58" si="39">K46</f>
        <v>0</v>
      </c>
      <c r="M46" s="118">
        <f t="shared" ref="M46:M58" si="40">I46+J46-L46</f>
        <v>2004.2</v>
      </c>
      <c r="N46" s="122"/>
      <c r="O46" s="48"/>
    </row>
    <row r="47" spans="2:15" ht="30" customHeight="1" x14ac:dyDescent="0.2">
      <c r="B47" s="202">
        <v>30</v>
      </c>
      <c r="C47" s="212" t="s">
        <v>347</v>
      </c>
      <c r="D47" s="203" t="s">
        <v>193</v>
      </c>
      <c r="E47" s="203" t="s">
        <v>63</v>
      </c>
      <c r="F47" s="74"/>
      <c r="G47" s="204">
        <v>15</v>
      </c>
      <c r="H47" s="196">
        <v>160.53299999999999</v>
      </c>
      <c r="I47" s="118">
        <f t="shared" ref="I47:I54" si="41">ROUND(G47*H47,2)</f>
        <v>2408</v>
      </c>
      <c r="J47" s="118">
        <f t="shared" si="37"/>
        <v>22.68</v>
      </c>
      <c r="K47" s="153">
        <f t="shared" si="38"/>
        <v>0</v>
      </c>
      <c r="L47" s="153">
        <f t="shared" si="39"/>
        <v>0</v>
      </c>
      <c r="M47" s="118">
        <f t="shared" si="40"/>
        <v>2430.6799999999998</v>
      </c>
      <c r="N47" s="122"/>
      <c r="O47" s="48"/>
    </row>
    <row r="48" spans="2:15" ht="30" customHeight="1" x14ac:dyDescent="0.2">
      <c r="B48" s="202">
        <v>31</v>
      </c>
      <c r="C48" s="212"/>
      <c r="D48" s="203" t="s">
        <v>194</v>
      </c>
      <c r="E48" s="203" t="s">
        <v>56</v>
      </c>
      <c r="F48" s="74"/>
      <c r="G48" s="204">
        <v>15</v>
      </c>
      <c r="H48" s="196">
        <v>220.8</v>
      </c>
      <c r="I48" s="118">
        <f t="shared" si="41"/>
        <v>3312</v>
      </c>
      <c r="J48" s="153">
        <f t="shared" si="37"/>
        <v>0</v>
      </c>
      <c r="K48" s="153">
        <f t="shared" si="38"/>
        <v>0</v>
      </c>
      <c r="L48" s="153">
        <f t="shared" si="39"/>
        <v>0</v>
      </c>
      <c r="M48" s="118">
        <f t="shared" si="40"/>
        <v>3312</v>
      </c>
      <c r="N48" s="122"/>
      <c r="O48" s="48"/>
    </row>
    <row r="49" spans="2:15" ht="30" customHeight="1" x14ac:dyDescent="0.2">
      <c r="B49" s="202">
        <v>32</v>
      </c>
      <c r="C49" s="212" t="s">
        <v>347</v>
      </c>
      <c r="D49" s="203" t="s">
        <v>267</v>
      </c>
      <c r="E49" s="203" t="s">
        <v>69</v>
      </c>
      <c r="F49" s="74"/>
      <c r="G49" s="204">
        <v>15</v>
      </c>
      <c r="H49" s="196">
        <v>132.2664</v>
      </c>
      <c r="I49" s="118">
        <f t="shared" si="41"/>
        <v>1984</v>
      </c>
      <c r="J49" s="118">
        <f t="shared" si="37"/>
        <v>78.23</v>
      </c>
      <c r="K49" s="153">
        <f t="shared" si="38"/>
        <v>0</v>
      </c>
      <c r="L49" s="153">
        <f t="shared" si="39"/>
        <v>0</v>
      </c>
      <c r="M49" s="118">
        <f t="shared" si="40"/>
        <v>2062.23</v>
      </c>
      <c r="N49" s="122"/>
      <c r="O49" s="48"/>
    </row>
    <row r="50" spans="2:15" ht="30" customHeight="1" x14ac:dyDescent="0.2">
      <c r="B50" s="202">
        <v>33</v>
      </c>
      <c r="C50" s="212" t="s">
        <v>347</v>
      </c>
      <c r="D50" s="203" t="s">
        <v>349</v>
      </c>
      <c r="E50" s="203" t="s">
        <v>69</v>
      </c>
      <c r="F50" s="74"/>
      <c r="G50" s="204">
        <v>15</v>
      </c>
      <c r="H50" s="196">
        <v>147.733</v>
      </c>
      <c r="I50" s="118">
        <f>ROUND(G50*H50,2)</f>
        <v>2216</v>
      </c>
      <c r="J50" s="118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49.45</v>
      </c>
      <c r="K50" s="153">
        <f t="shared" si="38"/>
        <v>0</v>
      </c>
      <c r="L50" s="153">
        <f t="shared" si="39"/>
        <v>0</v>
      </c>
      <c r="M50" s="118">
        <f>I50+J50-L50</f>
        <v>2265.4499999999998</v>
      </c>
      <c r="N50" s="122"/>
      <c r="O50" s="48"/>
    </row>
    <row r="51" spans="2:15" ht="30" customHeight="1" x14ac:dyDescent="0.2">
      <c r="B51" s="202">
        <v>34</v>
      </c>
      <c r="C51" s="212" t="s">
        <v>347</v>
      </c>
      <c r="D51" s="203" t="s">
        <v>195</v>
      </c>
      <c r="E51" s="203" t="s">
        <v>109</v>
      </c>
      <c r="F51" s="74"/>
      <c r="G51" s="204">
        <v>15</v>
      </c>
      <c r="H51" s="196">
        <v>83.2</v>
      </c>
      <c r="I51" s="118">
        <f t="shared" si="41"/>
        <v>1248</v>
      </c>
      <c r="J51" s="118">
        <f t="shared" si="37"/>
        <v>137.36000000000001</v>
      </c>
      <c r="K51" s="153">
        <f t="shared" si="38"/>
        <v>0</v>
      </c>
      <c r="L51" s="153">
        <f t="shared" si="39"/>
        <v>0</v>
      </c>
      <c r="M51" s="118">
        <f t="shared" si="40"/>
        <v>1385.3600000000001</v>
      </c>
      <c r="N51" s="122"/>
      <c r="O51" s="48"/>
    </row>
    <row r="52" spans="2:15" ht="30" customHeight="1" x14ac:dyDescent="0.2">
      <c r="B52" s="202">
        <v>35</v>
      </c>
      <c r="C52" s="212" t="s">
        <v>347</v>
      </c>
      <c r="D52" s="203" t="s">
        <v>196</v>
      </c>
      <c r="E52" s="203" t="s">
        <v>69</v>
      </c>
      <c r="F52" s="74"/>
      <c r="G52" s="204">
        <v>15</v>
      </c>
      <c r="H52" s="196">
        <v>147.733</v>
      </c>
      <c r="I52" s="118">
        <f t="shared" si="41"/>
        <v>2216</v>
      </c>
      <c r="J52" s="118">
        <f t="shared" si="37"/>
        <v>49.45</v>
      </c>
      <c r="K52" s="153">
        <f t="shared" si="38"/>
        <v>0</v>
      </c>
      <c r="L52" s="153">
        <f t="shared" si="39"/>
        <v>0</v>
      </c>
      <c r="M52" s="118">
        <f t="shared" si="40"/>
        <v>2265.4499999999998</v>
      </c>
      <c r="N52" s="122"/>
      <c r="O52" s="48"/>
    </row>
    <row r="53" spans="2:15" ht="30" customHeight="1" x14ac:dyDescent="0.2">
      <c r="B53" s="202">
        <v>36</v>
      </c>
      <c r="C53" s="212" t="s">
        <v>347</v>
      </c>
      <c r="D53" s="203" t="s">
        <v>197</v>
      </c>
      <c r="E53" s="203" t="s">
        <v>56</v>
      </c>
      <c r="F53" s="74"/>
      <c r="G53" s="204">
        <v>15</v>
      </c>
      <c r="H53" s="196">
        <v>220.8</v>
      </c>
      <c r="I53" s="118">
        <f>ROUND(G53*H53,2)</f>
        <v>3312</v>
      </c>
      <c r="J53" s="153">
        <f t="shared" si="37"/>
        <v>0</v>
      </c>
      <c r="K53" s="153">
        <f t="shared" si="38"/>
        <v>0</v>
      </c>
      <c r="L53" s="153">
        <f t="shared" si="39"/>
        <v>0</v>
      </c>
      <c r="M53" s="118">
        <f t="shared" si="40"/>
        <v>3312</v>
      </c>
      <c r="N53" s="122"/>
      <c r="O53" s="48"/>
    </row>
    <row r="54" spans="2:15" ht="30" customHeight="1" x14ac:dyDescent="0.2">
      <c r="B54" s="202">
        <v>37</v>
      </c>
      <c r="C54" s="212" t="s">
        <v>347</v>
      </c>
      <c r="D54" s="203" t="s">
        <v>352</v>
      </c>
      <c r="E54" s="203" t="s">
        <v>69</v>
      </c>
      <c r="F54" s="74"/>
      <c r="G54" s="204">
        <v>15</v>
      </c>
      <c r="H54" s="196">
        <v>147.733</v>
      </c>
      <c r="I54" s="118">
        <f t="shared" si="41"/>
        <v>2216</v>
      </c>
      <c r="J54" s="153">
        <f t="shared" si="37"/>
        <v>49.45</v>
      </c>
      <c r="K54" s="153">
        <f t="shared" si="38"/>
        <v>0</v>
      </c>
      <c r="L54" s="153">
        <f t="shared" si="39"/>
        <v>0</v>
      </c>
      <c r="M54" s="118">
        <f t="shared" si="40"/>
        <v>2265.4499999999998</v>
      </c>
      <c r="N54" s="122"/>
      <c r="O54" s="48"/>
    </row>
    <row r="55" spans="2:15" ht="30" customHeight="1" x14ac:dyDescent="0.2">
      <c r="B55" s="202">
        <v>38</v>
      </c>
      <c r="C55" s="212"/>
      <c r="D55" s="203" t="s">
        <v>198</v>
      </c>
      <c r="E55" s="203" t="s">
        <v>56</v>
      </c>
      <c r="F55" s="74"/>
      <c r="G55" s="204">
        <v>15</v>
      </c>
      <c r="H55" s="196">
        <v>220.8</v>
      </c>
      <c r="I55" s="118">
        <f t="shared" ref="I55:I58" si="42">ROUND(G55*H55,2)</f>
        <v>3312</v>
      </c>
      <c r="J55" s="153">
        <f t="shared" si="37"/>
        <v>0</v>
      </c>
      <c r="K55" s="153">
        <f t="shared" si="38"/>
        <v>0</v>
      </c>
      <c r="L55" s="153">
        <f t="shared" si="39"/>
        <v>0</v>
      </c>
      <c r="M55" s="118">
        <f t="shared" si="40"/>
        <v>3312</v>
      </c>
      <c r="N55" s="122"/>
      <c r="O55" s="48"/>
    </row>
    <row r="56" spans="2:15" ht="30" customHeight="1" x14ac:dyDescent="0.2">
      <c r="B56" s="202">
        <v>39</v>
      </c>
      <c r="C56" s="212" t="s">
        <v>347</v>
      </c>
      <c r="D56" s="203" t="s">
        <v>160</v>
      </c>
      <c r="E56" s="203" t="s">
        <v>56</v>
      </c>
      <c r="F56" s="74"/>
      <c r="G56" s="204">
        <v>15</v>
      </c>
      <c r="H56" s="196">
        <v>220.8</v>
      </c>
      <c r="I56" s="118">
        <f t="shared" si="42"/>
        <v>3312</v>
      </c>
      <c r="J56" s="153">
        <f t="shared" si="37"/>
        <v>0</v>
      </c>
      <c r="K56" s="153">
        <f t="shared" si="38"/>
        <v>0</v>
      </c>
      <c r="L56" s="153">
        <f t="shared" si="39"/>
        <v>0</v>
      </c>
      <c r="M56" s="118">
        <f t="shared" si="40"/>
        <v>3312</v>
      </c>
      <c r="N56" s="122"/>
      <c r="O56" s="48"/>
    </row>
    <row r="57" spans="2:15" ht="30" customHeight="1" x14ac:dyDescent="0.2">
      <c r="B57" s="202">
        <v>40</v>
      </c>
      <c r="C57" s="212" t="s">
        <v>347</v>
      </c>
      <c r="D57" s="203" t="s">
        <v>159</v>
      </c>
      <c r="E57" s="203" t="s">
        <v>56</v>
      </c>
      <c r="F57" s="74"/>
      <c r="G57" s="204">
        <v>15</v>
      </c>
      <c r="H57" s="196">
        <v>220.8</v>
      </c>
      <c r="I57" s="118">
        <f t="shared" si="42"/>
        <v>3312</v>
      </c>
      <c r="J57" s="153">
        <f t="shared" si="37"/>
        <v>0</v>
      </c>
      <c r="K57" s="153">
        <f t="shared" si="38"/>
        <v>0</v>
      </c>
      <c r="L57" s="153">
        <f t="shared" si="39"/>
        <v>0</v>
      </c>
      <c r="M57" s="118">
        <f t="shared" si="40"/>
        <v>3312</v>
      </c>
      <c r="N57" s="122"/>
      <c r="O57" s="48"/>
    </row>
    <row r="58" spans="2:15" ht="30" customHeight="1" x14ac:dyDescent="0.2">
      <c r="B58" s="202">
        <v>41</v>
      </c>
      <c r="C58" s="212" t="s">
        <v>347</v>
      </c>
      <c r="D58" s="203" t="s">
        <v>361</v>
      </c>
      <c r="E58" s="203" t="s">
        <v>56</v>
      </c>
      <c r="F58" s="74"/>
      <c r="G58" s="204">
        <v>15</v>
      </c>
      <c r="H58" s="196">
        <v>220.8</v>
      </c>
      <c r="I58" s="118">
        <f t="shared" si="42"/>
        <v>3312</v>
      </c>
      <c r="J58" s="153">
        <f t="shared" si="37"/>
        <v>0</v>
      </c>
      <c r="K58" s="153">
        <f t="shared" si="38"/>
        <v>0</v>
      </c>
      <c r="L58" s="153">
        <f t="shared" si="39"/>
        <v>0</v>
      </c>
      <c r="M58" s="118">
        <f t="shared" si="40"/>
        <v>3312</v>
      </c>
      <c r="N58" s="122"/>
      <c r="O58" s="48"/>
    </row>
    <row r="59" spans="2:15" ht="30" customHeight="1" x14ac:dyDescent="0.2">
      <c r="B59" s="202">
        <v>42</v>
      </c>
      <c r="C59" s="212" t="s">
        <v>347</v>
      </c>
      <c r="D59" s="203" t="s">
        <v>468</v>
      </c>
      <c r="E59" s="203" t="s">
        <v>56</v>
      </c>
      <c r="F59" s="74"/>
      <c r="G59" s="204">
        <v>15</v>
      </c>
      <c r="H59" s="196">
        <v>220.8</v>
      </c>
      <c r="I59" s="118">
        <f t="shared" ref="I59" si="43">ROUND(G59*H59,2)</f>
        <v>3312</v>
      </c>
      <c r="J59" s="153">
        <f t="shared" ref="J59" si="44"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153">
        <f t="shared" ref="K59" si="45">IF(H59&lt;=248.93,0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153">
        <f t="shared" ref="L59" si="46">K59</f>
        <v>0</v>
      </c>
      <c r="M59" s="118">
        <f t="shared" ref="M59" si="47">I59+J59-L59</f>
        <v>3312</v>
      </c>
      <c r="N59" s="122"/>
      <c r="O59" s="48"/>
    </row>
    <row r="60" spans="2:15" ht="30" customHeight="1" x14ac:dyDescent="0.2">
      <c r="B60" s="202">
        <v>43</v>
      </c>
      <c r="C60" s="212" t="s">
        <v>347</v>
      </c>
      <c r="D60" s="203" t="s">
        <v>362</v>
      </c>
      <c r="E60" s="203" t="s">
        <v>363</v>
      </c>
      <c r="F60" s="74"/>
      <c r="G60" s="204">
        <v>15</v>
      </c>
      <c r="H60" s="196">
        <v>164.8664</v>
      </c>
      <c r="I60" s="118">
        <f>ROUND(G60*H60,2)</f>
        <v>2473</v>
      </c>
      <c r="J60" s="153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18.52</v>
      </c>
      <c r="K60" s="153">
        <f t="shared" si="38"/>
        <v>0</v>
      </c>
      <c r="L60" s="153">
        <v>0</v>
      </c>
      <c r="M60" s="118">
        <f>I60+J60-L60</f>
        <v>2491.52</v>
      </c>
      <c r="N60" s="122"/>
      <c r="O60" s="48"/>
    </row>
    <row r="61" spans="2:15" ht="30" customHeight="1" x14ac:dyDescent="0.2">
      <c r="B61" s="202">
        <v>44</v>
      </c>
      <c r="C61" s="212" t="s">
        <v>347</v>
      </c>
      <c r="D61" s="203" t="s">
        <v>462</v>
      </c>
      <c r="E61" s="203" t="s">
        <v>69</v>
      </c>
      <c r="F61" s="74"/>
      <c r="G61" s="204">
        <v>15</v>
      </c>
      <c r="H61" s="196">
        <v>147.733</v>
      </c>
      <c r="I61" s="118">
        <f>ROUND(G61*H61,2)</f>
        <v>2216</v>
      </c>
      <c r="J61" s="153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49.45</v>
      </c>
      <c r="K61" s="153">
        <f t="shared" ref="K61" si="48">IF(H61&lt;=248.93,0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53">
        <v>0</v>
      </c>
      <c r="M61" s="118">
        <f>I61+J61-L61</f>
        <v>2265.4499999999998</v>
      </c>
      <c r="N61" s="122"/>
      <c r="O61" s="48"/>
    </row>
    <row r="62" spans="2:15" ht="30" customHeight="1" x14ac:dyDescent="0.2">
      <c r="B62" s="202"/>
      <c r="C62" s="212"/>
      <c r="D62" s="203"/>
      <c r="E62" s="218" t="s">
        <v>33</v>
      </c>
      <c r="F62" s="425"/>
      <c r="G62" s="427"/>
      <c r="H62" s="426"/>
      <c r="I62" s="119">
        <f>SUM(I46:I61)</f>
        <v>42083</v>
      </c>
      <c r="J62" s="119">
        <f t="shared" ref="J62:N62" si="49">SUM(J46:J61)</f>
        <v>536.79</v>
      </c>
      <c r="K62" s="154">
        <f t="shared" si="49"/>
        <v>0</v>
      </c>
      <c r="L62" s="154">
        <f t="shared" si="49"/>
        <v>0</v>
      </c>
      <c r="M62" s="119">
        <f t="shared" si="49"/>
        <v>42619.79</v>
      </c>
      <c r="N62" s="123">
        <f t="shared" si="49"/>
        <v>0</v>
      </c>
      <c r="O62" s="48"/>
    </row>
    <row r="63" spans="2:15" ht="30" customHeight="1" x14ac:dyDescent="0.2">
      <c r="B63" s="417" t="s">
        <v>44</v>
      </c>
      <c r="C63" s="418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20"/>
      <c r="O63" s="48"/>
    </row>
    <row r="64" spans="2:15" ht="30" customHeight="1" x14ac:dyDescent="0.2">
      <c r="B64" s="202">
        <v>45</v>
      </c>
      <c r="C64" s="212" t="s">
        <v>347</v>
      </c>
      <c r="D64" s="203" t="s">
        <v>199</v>
      </c>
      <c r="E64" s="203" t="s">
        <v>72</v>
      </c>
      <c r="F64" s="74"/>
      <c r="G64" s="204">
        <v>15</v>
      </c>
      <c r="H64" s="215">
        <v>134.93299999999999</v>
      </c>
      <c r="I64" s="118">
        <f>ROUND(G64*H64,2)</f>
        <v>2024</v>
      </c>
      <c r="J64" s="118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75.67</v>
      </c>
      <c r="K64" s="153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0</v>
      </c>
      <c r="L64" s="153">
        <f>K64</f>
        <v>0</v>
      </c>
      <c r="M64" s="118">
        <f>I64+J64-L64</f>
        <v>2099.67</v>
      </c>
      <c r="N64" s="122"/>
      <c r="O64" s="48"/>
    </row>
    <row r="65" spans="2:15" ht="30" customHeight="1" x14ac:dyDescent="0.2">
      <c r="B65" s="202">
        <v>46</v>
      </c>
      <c r="C65" s="212" t="s">
        <v>347</v>
      </c>
      <c r="D65" s="203" t="s">
        <v>200</v>
      </c>
      <c r="E65" s="203" t="s">
        <v>65</v>
      </c>
      <c r="F65" s="74"/>
      <c r="G65" s="204">
        <v>15</v>
      </c>
      <c r="H65" s="215">
        <v>213.13300000000001</v>
      </c>
      <c r="I65" s="118">
        <f>ROUND(G65*H65,2)</f>
        <v>3197</v>
      </c>
      <c r="J65" s="153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0</v>
      </c>
      <c r="K65" s="153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0</v>
      </c>
      <c r="L65" s="153">
        <f>K65</f>
        <v>0</v>
      </c>
      <c r="M65" s="118">
        <f>I65+J65-L65</f>
        <v>3197</v>
      </c>
      <c r="N65" s="122"/>
      <c r="O65" s="48"/>
    </row>
    <row r="66" spans="2:15" ht="30" customHeight="1" x14ac:dyDescent="0.2">
      <c r="B66" s="202">
        <v>47</v>
      </c>
      <c r="C66" s="212" t="s">
        <v>347</v>
      </c>
      <c r="D66" s="203" t="s">
        <v>201</v>
      </c>
      <c r="E66" s="203" t="s">
        <v>65</v>
      </c>
      <c r="F66" s="74"/>
      <c r="G66" s="204">
        <v>15</v>
      </c>
      <c r="H66" s="215">
        <v>261.8</v>
      </c>
      <c r="I66" s="118">
        <f>ROUND(G66*H66,2)</f>
        <v>3927</v>
      </c>
      <c r="J66" s="153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18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270.79000000000002</v>
      </c>
      <c r="L66" s="118">
        <f>K66</f>
        <v>270.79000000000002</v>
      </c>
      <c r="M66" s="118">
        <f>I66+J66-L66</f>
        <v>3656.21</v>
      </c>
      <c r="N66" s="122"/>
      <c r="O66" s="48"/>
    </row>
    <row r="67" spans="2:15" ht="30" customHeight="1" x14ac:dyDescent="0.2">
      <c r="B67" s="202">
        <v>48</v>
      </c>
      <c r="C67" s="212" t="s">
        <v>347</v>
      </c>
      <c r="D67" s="203" t="s">
        <v>265</v>
      </c>
      <c r="E67" s="203" t="s">
        <v>266</v>
      </c>
      <c r="F67" s="74"/>
      <c r="G67" s="204">
        <v>15</v>
      </c>
      <c r="H67" s="215">
        <v>315.13299999999998</v>
      </c>
      <c r="I67" s="118">
        <f>ROUND(G67*H67,2)</f>
        <v>4727</v>
      </c>
      <c r="J67" s="153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18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357.83</v>
      </c>
      <c r="L67" s="118">
        <f>K67</f>
        <v>357.83</v>
      </c>
      <c r="M67" s="118">
        <f>I67+J67-L67</f>
        <v>4369.17</v>
      </c>
      <c r="N67" s="122"/>
      <c r="O67" s="48"/>
    </row>
    <row r="68" spans="2:15" ht="30" customHeight="1" x14ac:dyDescent="0.2">
      <c r="B68" s="202"/>
      <c r="C68" s="212"/>
      <c r="D68" s="203"/>
      <c r="E68" s="214" t="s">
        <v>33</v>
      </c>
      <c r="F68" s="425"/>
      <c r="G68" s="427"/>
      <c r="H68" s="426"/>
      <c r="I68" s="119">
        <f>SUM(I64:I67)</f>
        <v>13875</v>
      </c>
      <c r="J68" s="119">
        <f t="shared" ref="J68:N68" si="50">SUM(J64:J67)</f>
        <v>75.67</v>
      </c>
      <c r="K68" s="119">
        <f t="shared" si="50"/>
        <v>628.62</v>
      </c>
      <c r="L68" s="119">
        <f t="shared" si="50"/>
        <v>628.62</v>
      </c>
      <c r="M68" s="119">
        <f>SUM(M64:M67)</f>
        <v>13322.050000000001</v>
      </c>
      <c r="N68" s="123">
        <f t="shared" si="50"/>
        <v>0</v>
      </c>
      <c r="O68" s="48"/>
    </row>
    <row r="69" spans="2:15" ht="30" customHeight="1" x14ac:dyDescent="0.2">
      <c r="B69" s="417" t="s">
        <v>46</v>
      </c>
      <c r="C69" s="418"/>
      <c r="D69" s="419"/>
      <c r="E69" s="419"/>
      <c r="F69" s="419"/>
      <c r="G69" s="419"/>
      <c r="H69" s="419"/>
      <c r="I69" s="419"/>
      <c r="J69" s="419"/>
      <c r="K69" s="419"/>
      <c r="L69" s="419"/>
      <c r="M69" s="419"/>
      <c r="N69" s="420"/>
      <c r="O69" s="48"/>
    </row>
    <row r="70" spans="2:15" ht="30" customHeight="1" x14ac:dyDescent="0.2">
      <c r="B70" s="202">
        <v>49</v>
      </c>
      <c r="C70" s="212" t="s">
        <v>347</v>
      </c>
      <c r="D70" s="203" t="s">
        <v>202</v>
      </c>
      <c r="E70" s="203" t="s">
        <v>47</v>
      </c>
      <c r="F70" s="74"/>
      <c r="G70" s="204">
        <v>15</v>
      </c>
      <c r="H70" s="196">
        <v>181.8</v>
      </c>
      <c r="I70" s="118">
        <f t="shared" ref="I70:I74" si="51">ROUND(G70*H70,2)</f>
        <v>2727</v>
      </c>
      <c r="J70" s="153">
        <f t="shared" ref="J70:J75" si="52"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0</v>
      </c>
      <c r="K70" s="153">
        <f t="shared" ref="K70:K77" si="53"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53">
        <f t="shared" ref="L70:L75" si="54">K70</f>
        <v>0</v>
      </c>
      <c r="M70" s="118">
        <f t="shared" ref="M70:M75" si="55">I70+J70-L70</f>
        <v>2727</v>
      </c>
      <c r="N70" s="122"/>
      <c r="O70" s="48"/>
    </row>
    <row r="71" spans="2:15" ht="30" customHeight="1" x14ac:dyDescent="0.2">
      <c r="B71" s="202">
        <v>50</v>
      </c>
      <c r="C71" s="212" t="s">
        <v>347</v>
      </c>
      <c r="D71" s="203" t="s">
        <v>203</v>
      </c>
      <c r="E71" s="203" t="s">
        <v>54</v>
      </c>
      <c r="F71" s="63"/>
      <c r="G71" s="204">
        <v>15</v>
      </c>
      <c r="H71" s="196">
        <v>132.93299999999999</v>
      </c>
      <c r="I71" s="118">
        <f t="shared" si="51"/>
        <v>1994</v>
      </c>
      <c r="J71" s="118">
        <f t="shared" si="52"/>
        <v>77.59</v>
      </c>
      <c r="K71" s="153">
        <f t="shared" si="53"/>
        <v>0</v>
      </c>
      <c r="L71" s="153">
        <f t="shared" si="54"/>
        <v>0</v>
      </c>
      <c r="M71" s="118">
        <f t="shared" si="55"/>
        <v>2071.59</v>
      </c>
      <c r="N71" s="122"/>
      <c r="O71" s="48"/>
    </row>
    <row r="72" spans="2:15" ht="30" customHeight="1" x14ac:dyDescent="0.2">
      <c r="B72" s="202">
        <v>51</v>
      </c>
      <c r="C72" s="212" t="s">
        <v>347</v>
      </c>
      <c r="D72" s="203" t="s">
        <v>387</v>
      </c>
      <c r="E72" s="203" t="s">
        <v>54</v>
      </c>
      <c r="F72" s="74"/>
      <c r="G72" s="204">
        <v>15</v>
      </c>
      <c r="H72" s="196">
        <v>142.07900000000001</v>
      </c>
      <c r="I72" s="118">
        <f t="shared" si="51"/>
        <v>2131.19</v>
      </c>
      <c r="J72" s="118">
        <f t="shared" si="52"/>
        <v>68.81</v>
      </c>
      <c r="K72" s="153">
        <f t="shared" si="53"/>
        <v>0</v>
      </c>
      <c r="L72" s="153">
        <f t="shared" si="54"/>
        <v>0</v>
      </c>
      <c r="M72" s="118">
        <f t="shared" si="55"/>
        <v>2200</v>
      </c>
      <c r="N72" s="122"/>
      <c r="O72" s="48"/>
    </row>
    <row r="73" spans="2:15" ht="30" customHeight="1" x14ac:dyDescent="0.2">
      <c r="B73" s="202">
        <v>52</v>
      </c>
      <c r="C73" s="212"/>
      <c r="D73" s="203" t="s">
        <v>204</v>
      </c>
      <c r="E73" s="203" t="s">
        <v>54</v>
      </c>
      <c r="F73" s="74"/>
      <c r="G73" s="204">
        <v>15</v>
      </c>
      <c r="H73" s="196">
        <v>150.19399999999999</v>
      </c>
      <c r="I73" s="118">
        <f t="shared" si="51"/>
        <v>2252.91</v>
      </c>
      <c r="J73" s="118">
        <f t="shared" si="52"/>
        <v>47.09</v>
      </c>
      <c r="K73" s="153">
        <f t="shared" si="53"/>
        <v>0</v>
      </c>
      <c r="L73" s="153">
        <f t="shared" si="54"/>
        <v>0</v>
      </c>
      <c r="M73" s="118">
        <f t="shared" si="55"/>
        <v>2300</v>
      </c>
      <c r="N73" s="122"/>
      <c r="O73" s="48"/>
    </row>
    <row r="74" spans="2:15" ht="30" customHeight="1" x14ac:dyDescent="0.2">
      <c r="B74" s="202">
        <v>53</v>
      </c>
      <c r="C74" s="212"/>
      <c r="D74" s="203" t="s">
        <v>205</v>
      </c>
      <c r="E74" s="203" t="s">
        <v>54</v>
      </c>
      <c r="F74" s="74"/>
      <c r="G74" s="204">
        <v>15</v>
      </c>
      <c r="H74" s="196">
        <v>150.19399999999999</v>
      </c>
      <c r="I74" s="118">
        <f t="shared" si="51"/>
        <v>2252.91</v>
      </c>
      <c r="J74" s="118">
        <f t="shared" si="52"/>
        <v>47.09</v>
      </c>
      <c r="K74" s="153">
        <f t="shared" si="53"/>
        <v>0</v>
      </c>
      <c r="L74" s="153">
        <f t="shared" si="54"/>
        <v>0</v>
      </c>
      <c r="M74" s="118">
        <f t="shared" si="55"/>
        <v>2300</v>
      </c>
      <c r="N74" s="122"/>
      <c r="O74" s="48"/>
    </row>
    <row r="75" spans="2:15" ht="30" customHeight="1" x14ac:dyDescent="0.2">
      <c r="B75" s="202">
        <v>54</v>
      </c>
      <c r="C75" s="212" t="s">
        <v>347</v>
      </c>
      <c r="D75" s="219" t="s">
        <v>150</v>
      </c>
      <c r="E75" s="203" t="s">
        <v>54</v>
      </c>
      <c r="F75" s="74"/>
      <c r="G75" s="204">
        <v>15</v>
      </c>
      <c r="H75" s="196">
        <v>104</v>
      </c>
      <c r="I75" s="118">
        <f>ROUND(G75*H75,2)</f>
        <v>1560</v>
      </c>
      <c r="J75" s="118">
        <f t="shared" si="52"/>
        <v>117.29</v>
      </c>
      <c r="K75" s="153">
        <f t="shared" si="53"/>
        <v>0</v>
      </c>
      <c r="L75" s="153">
        <f t="shared" si="54"/>
        <v>0</v>
      </c>
      <c r="M75" s="118">
        <f t="shared" si="55"/>
        <v>1677.29</v>
      </c>
      <c r="N75" s="122"/>
      <c r="O75" s="48"/>
    </row>
    <row r="76" spans="2:15" ht="30" customHeight="1" x14ac:dyDescent="0.2">
      <c r="B76" s="202">
        <v>55</v>
      </c>
      <c r="C76" s="212" t="s">
        <v>347</v>
      </c>
      <c r="D76" s="219" t="s">
        <v>354</v>
      </c>
      <c r="E76" s="203" t="s">
        <v>355</v>
      </c>
      <c r="F76" s="74"/>
      <c r="G76" s="204">
        <v>15</v>
      </c>
      <c r="H76" s="196">
        <v>376.8</v>
      </c>
      <c r="I76" s="118">
        <f>ROUND(G76*H76,2)</f>
        <v>5652</v>
      </c>
      <c r="J76" s="153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53">
        <f t="shared" si="53"/>
        <v>466.73</v>
      </c>
      <c r="L76" s="153">
        <f>K76</f>
        <v>466.73</v>
      </c>
      <c r="M76" s="118">
        <f>I76+J76-L76</f>
        <v>5185.2700000000004</v>
      </c>
      <c r="N76" s="122"/>
      <c r="O76" s="48"/>
    </row>
    <row r="77" spans="2:15" ht="30" customHeight="1" x14ac:dyDescent="0.2">
      <c r="B77" s="202">
        <v>56</v>
      </c>
      <c r="C77" s="212" t="s">
        <v>347</v>
      </c>
      <c r="D77" s="219" t="s">
        <v>359</v>
      </c>
      <c r="E77" s="203" t="s">
        <v>355</v>
      </c>
      <c r="F77" s="74"/>
      <c r="G77" s="204">
        <v>15</v>
      </c>
      <c r="H77" s="196">
        <v>544.6</v>
      </c>
      <c r="I77" s="118">
        <f>ROUND(G77*H77,2)</f>
        <v>8169</v>
      </c>
      <c r="J77" s="153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153">
        <f t="shared" si="53"/>
        <v>921.87</v>
      </c>
      <c r="L77" s="153">
        <f>K77</f>
        <v>921.87</v>
      </c>
      <c r="M77" s="118">
        <f>I77+J77-L77</f>
        <v>7247.13</v>
      </c>
      <c r="N77" s="122"/>
      <c r="O77" s="48"/>
    </row>
    <row r="78" spans="2:15" ht="30" customHeight="1" x14ac:dyDescent="0.2">
      <c r="B78" s="202">
        <v>57</v>
      </c>
      <c r="C78" s="212" t="s">
        <v>347</v>
      </c>
      <c r="D78" s="219" t="s">
        <v>488</v>
      </c>
      <c r="E78" s="203" t="s">
        <v>42</v>
      </c>
      <c r="F78" s="75"/>
      <c r="G78" s="369">
        <v>15</v>
      </c>
      <c r="H78" s="220">
        <v>132.93299999999999</v>
      </c>
      <c r="I78" s="118">
        <v>1994</v>
      </c>
      <c r="J78" s="153">
        <v>77.59</v>
      </c>
      <c r="K78" s="153">
        <v>0</v>
      </c>
      <c r="L78" s="153">
        <v>0</v>
      </c>
      <c r="M78" s="118">
        <v>2071.59</v>
      </c>
      <c r="N78" s="122"/>
      <c r="O78" s="48"/>
    </row>
    <row r="79" spans="2:15" ht="30" customHeight="1" x14ac:dyDescent="0.2">
      <c r="B79" s="202"/>
      <c r="C79" s="212"/>
      <c r="D79" s="203"/>
      <c r="E79" s="214" t="s">
        <v>33</v>
      </c>
      <c r="F79" s="425"/>
      <c r="G79" s="427"/>
      <c r="H79" s="426"/>
      <c r="I79" s="119">
        <f>SUM(I70:I78)</f>
        <v>28733.010000000002</v>
      </c>
      <c r="J79" s="119">
        <f t="shared" ref="J79:M79" si="56">SUM(J70:J78)</f>
        <v>435.46000000000004</v>
      </c>
      <c r="K79" s="119">
        <f t="shared" si="56"/>
        <v>1388.6</v>
      </c>
      <c r="L79" s="119">
        <f t="shared" si="56"/>
        <v>1388.6</v>
      </c>
      <c r="M79" s="119">
        <f t="shared" si="56"/>
        <v>27779.870000000003</v>
      </c>
      <c r="N79" s="123">
        <f>SUM(N70:N75)</f>
        <v>0</v>
      </c>
      <c r="O79" s="48"/>
    </row>
    <row r="80" spans="2:15" ht="30" customHeight="1" x14ac:dyDescent="0.2">
      <c r="B80" s="417" t="s">
        <v>64</v>
      </c>
      <c r="C80" s="418"/>
      <c r="D80" s="419"/>
      <c r="E80" s="419"/>
      <c r="F80" s="419"/>
      <c r="G80" s="419"/>
      <c r="H80" s="419"/>
      <c r="I80" s="419"/>
      <c r="J80" s="419"/>
      <c r="K80" s="419"/>
      <c r="L80" s="419"/>
      <c r="M80" s="419"/>
      <c r="N80" s="420"/>
      <c r="O80" s="48"/>
    </row>
    <row r="81" spans="2:15" s="5" customFormat="1" ht="30" customHeight="1" x14ac:dyDescent="0.2">
      <c r="B81" s="202">
        <v>58</v>
      </c>
      <c r="C81" s="212"/>
      <c r="D81" s="203" t="s">
        <v>206</v>
      </c>
      <c r="E81" s="203" t="s">
        <v>35</v>
      </c>
      <c r="F81" s="74"/>
      <c r="G81" s="204">
        <v>15</v>
      </c>
      <c r="H81" s="215">
        <v>315.13299999999998</v>
      </c>
      <c r="I81" s="118">
        <f>ROUND(G81*H81,2)</f>
        <v>4727</v>
      </c>
      <c r="J81" s="15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18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357.83</v>
      </c>
      <c r="L81" s="118">
        <f>K81</f>
        <v>357.83</v>
      </c>
      <c r="M81" s="118">
        <f>I81+J81-L81</f>
        <v>4369.17</v>
      </c>
      <c r="N81" s="122"/>
      <c r="O81" s="48"/>
    </row>
    <row r="82" spans="2:15" ht="30" customHeight="1" x14ac:dyDescent="0.2">
      <c r="B82" s="202">
        <v>59</v>
      </c>
      <c r="C82" s="212" t="s">
        <v>347</v>
      </c>
      <c r="D82" s="203" t="s">
        <v>273</v>
      </c>
      <c r="E82" s="203" t="s">
        <v>54</v>
      </c>
      <c r="F82" s="63"/>
      <c r="G82" s="204">
        <v>15</v>
      </c>
      <c r="H82" s="215">
        <v>106.2664</v>
      </c>
      <c r="I82" s="118">
        <f>ROUND(G82*H82,2)</f>
        <v>1594</v>
      </c>
      <c r="J82" s="153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115.11</v>
      </c>
      <c r="K82" s="153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53">
        <f>K82</f>
        <v>0</v>
      </c>
      <c r="M82" s="118">
        <f>I82+J82-L82</f>
        <v>1709.11</v>
      </c>
      <c r="N82" s="122"/>
      <c r="O82" s="48"/>
    </row>
    <row r="83" spans="2:15" ht="30" customHeight="1" x14ac:dyDescent="0.2">
      <c r="B83" s="202"/>
      <c r="C83" s="212"/>
      <c r="D83" s="203"/>
      <c r="E83" s="214" t="s">
        <v>33</v>
      </c>
      <c r="F83" s="425"/>
      <c r="G83" s="427"/>
      <c r="H83" s="426"/>
      <c r="I83" s="119">
        <f>SUM(I81:I82)</f>
        <v>6321</v>
      </c>
      <c r="J83" s="119">
        <f t="shared" ref="J83:N83" si="57">SUM(J81:J82)</f>
        <v>115.11</v>
      </c>
      <c r="K83" s="119">
        <f t="shared" si="57"/>
        <v>357.83</v>
      </c>
      <c r="L83" s="119">
        <f t="shared" si="57"/>
        <v>357.83</v>
      </c>
      <c r="M83" s="119">
        <f>SUM(M81:M82)</f>
        <v>6078.28</v>
      </c>
      <c r="N83" s="123">
        <f t="shared" si="57"/>
        <v>0</v>
      </c>
      <c r="O83" s="48"/>
    </row>
    <row r="84" spans="2:15" ht="30" customHeight="1" x14ac:dyDescent="0.2">
      <c r="B84" s="417" t="s">
        <v>50</v>
      </c>
      <c r="C84" s="418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20"/>
      <c r="O84" s="48"/>
    </row>
    <row r="85" spans="2:15" ht="30" customHeight="1" x14ac:dyDescent="0.2">
      <c r="B85" s="202">
        <v>60</v>
      </c>
      <c r="C85" s="212"/>
      <c r="D85" s="219" t="s">
        <v>388</v>
      </c>
      <c r="E85" s="203" t="s">
        <v>42</v>
      </c>
      <c r="F85" s="74"/>
      <c r="G85" s="204">
        <v>15</v>
      </c>
      <c r="H85" s="196">
        <v>104</v>
      </c>
      <c r="I85" s="118">
        <f t="shared" ref="I85:I89" si="58">ROUND(G85*H85,2)</f>
        <v>1560</v>
      </c>
      <c r="J85" s="118">
        <f t="shared" ref="J85:J89" si="59"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117.29</v>
      </c>
      <c r="K85" s="153">
        <f t="shared" ref="K85:K89" si="60"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53">
        <f t="shared" ref="L85:L89" si="61">K85</f>
        <v>0</v>
      </c>
      <c r="M85" s="118">
        <f t="shared" ref="M85:M89" si="62">I85+J85-L85</f>
        <v>1677.29</v>
      </c>
      <c r="N85" s="122"/>
      <c r="O85" s="48"/>
    </row>
    <row r="86" spans="2:15" ht="30" customHeight="1" x14ac:dyDescent="0.2">
      <c r="B86" s="202">
        <v>61</v>
      </c>
      <c r="C86" s="212" t="s">
        <v>347</v>
      </c>
      <c r="D86" s="219" t="s">
        <v>207</v>
      </c>
      <c r="E86" s="203" t="s">
        <v>71</v>
      </c>
      <c r="F86" s="74"/>
      <c r="G86" s="204">
        <v>15</v>
      </c>
      <c r="H86" s="196">
        <v>149.6</v>
      </c>
      <c r="I86" s="118">
        <f t="shared" si="58"/>
        <v>2244</v>
      </c>
      <c r="J86" s="118">
        <f t="shared" si="59"/>
        <v>47.66</v>
      </c>
      <c r="K86" s="153">
        <f t="shared" si="60"/>
        <v>0</v>
      </c>
      <c r="L86" s="153">
        <f t="shared" si="61"/>
        <v>0</v>
      </c>
      <c r="M86" s="118">
        <f t="shared" si="62"/>
        <v>2291.66</v>
      </c>
      <c r="N86" s="122"/>
      <c r="O86" s="48"/>
    </row>
    <row r="87" spans="2:15" ht="30" customHeight="1" x14ac:dyDescent="0.2">
      <c r="B87" s="202">
        <v>62</v>
      </c>
      <c r="C87" s="212" t="s">
        <v>347</v>
      </c>
      <c r="D87" s="219" t="s">
        <v>356</v>
      </c>
      <c r="E87" s="203" t="s">
        <v>65</v>
      </c>
      <c r="F87" s="74"/>
      <c r="G87" s="204">
        <v>15</v>
      </c>
      <c r="H87" s="196">
        <v>117.8664</v>
      </c>
      <c r="I87" s="118">
        <f t="shared" si="58"/>
        <v>1768</v>
      </c>
      <c r="J87" s="118">
        <f t="shared" si="59"/>
        <v>92.06</v>
      </c>
      <c r="K87" s="153">
        <f t="shared" si="60"/>
        <v>0</v>
      </c>
      <c r="L87" s="153">
        <f t="shared" si="61"/>
        <v>0</v>
      </c>
      <c r="M87" s="118">
        <f t="shared" si="62"/>
        <v>1860.06</v>
      </c>
      <c r="N87" s="122"/>
      <c r="O87" s="48"/>
    </row>
    <row r="88" spans="2:15" ht="30" customHeight="1" x14ac:dyDescent="0.2">
      <c r="B88" s="202">
        <v>63</v>
      </c>
      <c r="C88" s="212" t="s">
        <v>347</v>
      </c>
      <c r="D88" s="219" t="s">
        <v>208</v>
      </c>
      <c r="E88" s="203" t="s">
        <v>65</v>
      </c>
      <c r="F88" s="74"/>
      <c r="G88" s="204">
        <v>15</v>
      </c>
      <c r="H88" s="196">
        <v>117.8664</v>
      </c>
      <c r="I88" s="118">
        <f t="shared" si="58"/>
        <v>1768</v>
      </c>
      <c r="J88" s="118">
        <f t="shared" si="59"/>
        <v>92.06</v>
      </c>
      <c r="K88" s="153">
        <f t="shared" si="60"/>
        <v>0</v>
      </c>
      <c r="L88" s="153">
        <f t="shared" si="61"/>
        <v>0</v>
      </c>
      <c r="M88" s="118">
        <f t="shared" si="62"/>
        <v>1860.06</v>
      </c>
      <c r="N88" s="122"/>
      <c r="O88" s="48"/>
    </row>
    <row r="89" spans="2:15" ht="30" customHeight="1" x14ac:dyDescent="0.2">
      <c r="B89" s="202">
        <v>64</v>
      </c>
      <c r="C89" s="212"/>
      <c r="D89" s="203" t="s">
        <v>209</v>
      </c>
      <c r="E89" s="203" t="s">
        <v>100</v>
      </c>
      <c r="F89" s="74"/>
      <c r="G89" s="204">
        <v>15</v>
      </c>
      <c r="H89" s="196">
        <v>98.666399999999996</v>
      </c>
      <c r="I89" s="118">
        <f t="shared" si="58"/>
        <v>1480</v>
      </c>
      <c r="J89" s="118">
        <f t="shared" si="59"/>
        <v>122.41</v>
      </c>
      <c r="K89" s="153">
        <f t="shared" si="60"/>
        <v>0</v>
      </c>
      <c r="L89" s="153">
        <f t="shared" si="61"/>
        <v>0</v>
      </c>
      <c r="M89" s="118">
        <f t="shared" si="62"/>
        <v>1602.41</v>
      </c>
      <c r="N89" s="122"/>
      <c r="O89" s="48"/>
    </row>
    <row r="90" spans="2:15" ht="30" customHeight="1" x14ac:dyDescent="0.2">
      <c r="B90" s="202">
        <v>65</v>
      </c>
      <c r="C90" s="212" t="s">
        <v>347</v>
      </c>
      <c r="D90" s="203" t="s">
        <v>481</v>
      </c>
      <c r="E90" s="203" t="s">
        <v>69</v>
      </c>
      <c r="F90" s="74"/>
      <c r="G90" s="204">
        <v>15</v>
      </c>
      <c r="H90" s="196">
        <v>90.132999999999996</v>
      </c>
      <c r="I90" s="118">
        <f t="shared" ref="I90" si="63">ROUND(G90*H90,2)</f>
        <v>1352</v>
      </c>
      <c r="J90" s="118">
        <f t="shared" ref="J90" si="64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130.6</v>
      </c>
      <c r="K90" s="153">
        <f t="shared" ref="K90" si="65"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53">
        <f t="shared" ref="L90" si="66">K90</f>
        <v>0</v>
      </c>
      <c r="M90" s="118">
        <f t="shared" ref="M90" si="67">I90+J90-L90</f>
        <v>1482.6</v>
      </c>
      <c r="N90" s="122"/>
      <c r="O90" s="48"/>
    </row>
    <row r="91" spans="2:15" ht="30" customHeight="1" x14ac:dyDescent="0.2">
      <c r="B91" s="202"/>
      <c r="C91" s="212"/>
      <c r="D91" s="203"/>
      <c r="E91" s="214" t="s">
        <v>33</v>
      </c>
      <c r="F91" s="425"/>
      <c r="G91" s="427"/>
      <c r="H91" s="426"/>
      <c r="I91" s="119">
        <f>SUM(I85:I90)</f>
        <v>10172</v>
      </c>
      <c r="J91" s="119">
        <f t="shared" ref="J91:M91" si="68">SUM(J85:J90)</f>
        <v>602.08000000000004</v>
      </c>
      <c r="K91" s="154">
        <f t="shared" si="68"/>
        <v>0</v>
      </c>
      <c r="L91" s="154">
        <f t="shared" si="68"/>
        <v>0</v>
      </c>
      <c r="M91" s="119">
        <f t="shared" si="68"/>
        <v>10774.08</v>
      </c>
      <c r="N91" s="123">
        <f t="shared" ref="N91" si="69">SUM(N85:N89)</f>
        <v>0</v>
      </c>
      <c r="O91" s="48"/>
    </row>
    <row r="92" spans="2:15" ht="30" customHeight="1" x14ac:dyDescent="0.2">
      <c r="B92" s="417" t="s">
        <v>52</v>
      </c>
      <c r="C92" s="418"/>
      <c r="D92" s="419"/>
      <c r="E92" s="419"/>
      <c r="F92" s="419"/>
      <c r="G92" s="419"/>
      <c r="H92" s="419"/>
      <c r="I92" s="419"/>
      <c r="J92" s="419"/>
      <c r="K92" s="419"/>
      <c r="L92" s="419"/>
      <c r="M92" s="419"/>
      <c r="N92" s="420"/>
      <c r="O92" s="48"/>
    </row>
    <row r="93" spans="2:15" s="5" customFormat="1" ht="30" customHeight="1" x14ac:dyDescent="0.2">
      <c r="B93" s="202">
        <v>66</v>
      </c>
      <c r="C93" s="212"/>
      <c r="D93" s="219" t="s">
        <v>210</v>
      </c>
      <c r="E93" s="203" t="s">
        <v>94</v>
      </c>
      <c r="F93" s="74"/>
      <c r="G93" s="204">
        <v>15</v>
      </c>
      <c r="H93" s="196">
        <v>110.93300000000001</v>
      </c>
      <c r="I93" s="118">
        <f t="shared" ref="I93:I105" si="70">ROUND(G93*H93,2)</f>
        <v>1664</v>
      </c>
      <c r="J93" s="118">
        <f t="shared" ref="J93:J105" si="71"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110.63</v>
      </c>
      <c r="K93" s="153">
        <f t="shared" ref="K93:K105" si="72"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0</v>
      </c>
      <c r="L93" s="153">
        <f t="shared" ref="L93:L105" si="73">K93</f>
        <v>0</v>
      </c>
      <c r="M93" s="118">
        <f t="shared" ref="M93:M105" si="74">I93+J93-L93</f>
        <v>1774.63</v>
      </c>
      <c r="N93" s="122"/>
      <c r="O93" s="48"/>
    </row>
    <row r="94" spans="2:15" ht="30" customHeight="1" x14ac:dyDescent="0.2">
      <c r="B94" s="202">
        <v>67</v>
      </c>
      <c r="C94" s="212"/>
      <c r="D94" s="203" t="s">
        <v>211</v>
      </c>
      <c r="E94" s="203" t="s">
        <v>54</v>
      </c>
      <c r="F94" s="74"/>
      <c r="G94" s="204">
        <v>15</v>
      </c>
      <c r="H94" s="196">
        <v>113.733</v>
      </c>
      <c r="I94" s="118">
        <f t="shared" si="70"/>
        <v>1706</v>
      </c>
      <c r="J94" s="118">
        <f t="shared" si="71"/>
        <v>107.94</v>
      </c>
      <c r="K94" s="153">
        <f t="shared" si="72"/>
        <v>0</v>
      </c>
      <c r="L94" s="153">
        <f t="shared" si="73"/>
        <v>0</v>
      </c>
      <c r="M94" s="118">
        <f t="shared" si="74"/>
        <v>1813.94</v>
      </c>
      <c r="N94" s="122"/>
      <c r="O94" s="48"/>
    </row>
    <row r="95" spans="2:15" ht="30" customHeight="1" x14ac:dyDescent="0.2">
      <c r="B95" s="202">
        <v>68</v>
      </c>
      <c r="C95" s="212" t="s">
        <v>347</v>
      </c>
      <c r="D95" s="203" t="s">
        <v>212</v>
      </c>
      <c r="E95" s="203" t="s">
        <v>110</v>
      </c>
      <c r="F95" s="74"/>
      <c r="G95" s="204">
        <v>15</v>
      </c>
      <c r="H95" s="196">
        <v>93.2</v>
      </c>
      <c r="I95" s="118">
        <f t="shared" si="70"/>
        <v>1398</v>
      </c>
      <c r="J95" s="118">
        <f t="shared" si="71"/>
        <v>127.66</v>
      </c>
      <c r="K95" s="153">
        <f t="shared" si="72"/>
        <v>0</v>
      </c>
      <c r="L95" s="153">
        <f t="shared" si="73"/>
        <v>0</v>
      </c>
      <c r="M95" s="118">
        <f t="shared" si="74"/>
        <v>1525.66</v>
      </c>
      <c r="N95" s="122"/>
      <c r="O95" s="48"/>
    </row>
    <row r="96" spans="2:15" ht="30" customHeight="1" x14ac:dyDescent="0.2">
      <c r="B96" s="202">
        <v>69</v>
      </c>
      <c r="C96" s="212"/>
      <c r="D96" s="203" t="s">
        <v>213</v>
      </c>
      <c r="E96" s="203" t="s">
        <v>103</v>
      </c>
      <c r="F96" s="74"/>
      <c r="G96" s="204">
        <v>15</v>
      </c>
      <c r="H96" s="196">
        <v>295.733</v>
      </c>
      <c r="I96" s="118">
        <f t="shared" si="70"/>
        <v>4436</v>
      </c>
      <c r="J96" s="153">
        <f t="shared" si="71"/>
        <v>0</v>
      </c>
      <c r="K96" s="118">
        <f t="shared" si="72"/>
        <v>326.17</v>
      </c>
      <c r="L96" s="118">
        <f t="shared" si="73"/>
        <v>326.17</v>
      </c>
      <c r="M96" s="118">
        <f t="shared" si="74"/>
        <v>4109.83</v>
      </c>
      <c r="N96" s="122"/>
      <c r="O96" s="48"/>
    </row>
    <row r="97" spans="1:15" s="5" customFormat="1" ht="30" customHeight="1" x14ac:dyDescent="0.2">
      <c r="B97" s="202">
        <v>70</v>
      </c>
      <c r="C97" s="212"/>
      <c r="D97" s="203" t="s">
        <v>214</v>
      </c>
      <c r="E97" s="203" t="s">
        <v>38</v>
      </c>
      <c r="F97" s="74"/>
      <c r="G97" s="204">
        <v>15</v>
      </c>
      <c r="H97" s="196">
        <v>111.6</v>
      </c>
      <c r="I97" s="118">
        <f>ROUND(G97*H97,2)</f>
        <v>1674</v>
      </c>
      <c r="J97" s="118">
        <f t="shared" si="71"/>
        <v>109.99</v>
      </c>
      <c r="K97" s="153">
        <f t="shared" si="72"/>
        <v>0</v>
      </c>
      <c r="L97" s="153">
        <f t="shared" si="73"/>
        <v>0</v>
      </c>
      <c r="M97" s="118">
        <f t="shared" si="74"/>
        <v>1783.99</v>
      </c>
      <c r="N97" s="122"/>
      <c r="O97" s="48"/>
    </row>
    <row r="98" spans="1:15" ht="30" customHeight="1" x14ac:dyDescent="0.2">
      <c r="B98" s="202">
        <v>71</v>
      </c>
      <c r="C98" s="212"/>
      <c r="D98" s="203" t="s">
        <v>215</v>
      </c>
      <c r="E98" s="203" t="s">
        <v>116</v>
      </c>
      <c r="F98" s="74"/>
      <c r="G98" s="204">
        <v>15</v>
      </c>
      <c r="H98" s="196">
        <v>111.6</v>
      </c>
      <c r="I98" s="118">
        <f>ROUND(G98*H98,2)</f>
        <v>1674</v>
      </c>
      <c r="J98" s="118">
        <f t="shared" si="71"/>
        <v>109.99</v>
      </c>
      <c r="K98" s="153">
        <f t="shared" si="72"/>
        <v>0</v>
      </c>
      <c r="L98" s="153">
        <f t="shared" si="73"/>
        <v>0</v>
      </c>
      <c r="M98" s="118">
        <f t="shared" si="74"/>
        <v>1783.99</v>
      </c>
      <c r="N98" s="122"/>
      <c r="O98" s="48"/>
    </row>
    <row r="99" spans="1:15" ht="30" customHeight="1" x14ac:dyDescent="0.2">
      <c r="B99" s="202">
        <v>72</v>
      </c>
      <c r="C99" s="212"/>
      <c r="D99" s="203" t="s">
        <v>217</v>
      </c>
      <c r="E99" s="203" t="s">
        <v>69</v>
      </c>
      <c r="F99" s="204"/>
      <c r="G99" s="204">
        <v>15</v>
      </c>
      <c r="H99" s="196">
        <v>81.666399999999996</v>
      </c>
      <c r="I99" s="118">
        <f t="shared" si="70"/>
        <v>1225</v>
      </c>
      <c r="J99" s="118">
        <f t="shared" si="71"/>
        <v>138.83000000000001</v>
      </c>
      <c r="K99" s="153">
        <f t="shared" si="72"/>
        <v>0</v>
      </c>
      <c r="L99" s="153">
        <f t="shared" si="73"/>
        <v>0</v>
      </c>
      <c r="M99" s="118">
        <f t="shared" si="74"/>
        <v>1363.83</v>
      </c>
      <c r="N99" s="122"/>
      <c r="O99" s="48"/>
    </row>
    <row r="100" spans="1:15" ht="30" customHeight="1" x14ac:dyDescent="0.2">
      <c r="B100" s="202">
        <v>73</v>
      </c>
      <c r="C100" s="212" t="s">
        <v>347</v>
      </c>
      <c r="D100" s="203" t="s">
        <v>216</v>
      </c>
      <c r="E100" s="203" t="s">
        <v>66</v>
      </c>
      <c r="F100" s="74"/>
      <c r="G100" s="204">
        <v>15</v>
      </c>
      <c r="H100" s="196">
        <v>210.46639999999999</v>
      </c>
      <c r="I100" s="118">
        <f t="shared" si="70"/>
        <v>3157</v>
      </c>
      <c r="J100" s="153">
        <f t="shared" si="71"/>
        <v>0</v>
      </c>
      <c r="K100" s="153">
        <f t="shared" si="72"/>
        <v>0</v>
      </c>
      <c r="L100" s="153">
        <f t="shared" si="73"/>
        <v>0</v>
      </c>
      <c r="M100" s="118">
        <f t="shared" si="74"/>
        <v>3157</v>
      </c>
      <c r="N100" s="122"/>
      <c r="O100" s="48"/>
    </row>
    <row r="101" spans="1:15" ht="30" customHeight="1" x14ac:dyDescent="0.2">
      <c r="B101" s="202">
        <v>74</v>
      </c>
      <c r="C101" s="212" t="s">
        <v>347</v>
      </c>
      <c r="D101" s="203" t="s">
        <v>485</v>
      </c>
      <c r="E101" s="203" t="s">
        <v>56</v>
      </c>
      <c r="F101" s="74"/>
      <c r="G101" s="204">
        <v>15</v>
      </c>
      <c r="H101" s="196">
        <v>81.866399999999999</v>
      </c>
      <c r="I101" s="118">
        <f t="shared" si="70"/>
        <v>1228</v>
      </c>
      <c r="J101" s="118">
        <f t="shared" si="71"/>
        <v>138.63999999999999</v>
      </c>
      <c r="K101" s="153">
        <f t="shared" si="72"/>
        <v>0</v>
      </c>
      <c r="L101" s="153">
        <f t="shared" si="73"/>
        <v>0</v>
      </c>
      <c r="M101" s="118">
        <f t="shared" si="74"/>
        <v>1366.6399999999999</v>
      </c>
      <c r="N101" s="122"/>
      <c r="O101" s="48"/>
    </row>
    <row r="102" spans="1:15" ht="30" customHeight="1" x14ac:dyDescent="0.2">
      <c r="B102" s="202">
        <v>75</v>
      </c>
      <c r="C102" s="212" t="s">
        <v>347</v>
      </c>
      <c r="D102" s="203" t="s">
        <v>358</v>
      </c>
      <c r="E102" s="203" t="s">
        <v>56</v>
      </c>
      <c r="F102" s="74"/>
      <c r="G102" s="204">
        <v>15</v>
      </c>
      <c r="H102" s="196">
        <v>81.866399999999999</v>
      </c>
      <c r="I102" s="118">
        <f t="shared" ref="I102" si="75">ROUND(G102*H102,2)</f>
        <v>1228</v>
      </c>
      <c r="J102" s="118">
        <f t="shared" ref="J102" si="76">IFERROR(IF(ROUND((((I102/G102*30.4)-VLOOKUP((I102/G102*30.4),TARIFA,1))*VLOOKUP((I102/G102*30.4),TARIFA,3)+VLOOKUP((I102/G102*30.4),TARIFA,2)-VLOOKUP((I102/G102*30.4),SUBSIDIO,2))/30.4*G102,2)&lt;0,ROUND(-(((I102/G102*30.4)-VLOOKUP((I102/G102*30.4),TARIFA,1))*VLOOKUP((I102/G102*30.4),TARIFA,3)+VLOOKUP((I102/G102*30.4),TARIFA,2)-VLOOKUP((I102/G102*30.4),SUBSIDIO,2))/30.4*G102,2),0),0)</f>
        <v>138.63999999999999</v>
      </c>
      <c r="K102" s="153">
        <f t="shared" si="72"/>
        <v>0</v>
      </c>
      <c r="L102" s="153">
        <f t="shared" ref="L102" si="77">K102</f>
        <v>0</v>
      </c>
      <c r="M102" s="118">
        <f t="shared" ref="M102" si="78">I102+J102-L102</f>
        <v>1366.6399999999999</v>
      </c>
      <c r="N102" s="122"/>
      <c r="O102" s="48"/>
    </row>
    <row r="103" spans="1:15" ht="30" customHeight="1" x14ac:dyDescent="0.2">
      <c r="B103" s="202">
        <v>76</v>
      </c>
      <c r="C103" s="212"/>
      <c r="D103" s="203" t="s">
        <v>218</v>
      </c>
      <c r="E103" s="203" t="s">
        <v>65</v>
      </c>
      <c r="F103" s="74"/>
      <c r="G103" s="204">
        <v>15</v>
      </c>
      <c r="H103" s="196">
        <v>177.53299999999999</v>
      </c>
      <c r="I103" s="118">
        <f t="shared" si="70"/>
        <v>2663</v>
      </c>
      <c r="J103" s="153">
        <f t="shared" si="71"/>
        <v>0</v>
      </c>
      <c r="K103" s="153">
        <f t="shared" si="72"/>
        <v>0</v>
      </c>
      <c r="L103" s="153">
        <f t="shared" si="73"/>
        <v>0</v>
      </c>
      <c r="M103" s="118">
        <f t="shared" si="74"/>
        <v>2663</v>
      </c>
      <c r="N103" s="122"/>
      <c r="O103" s="48"/>
    </row>
    <row r="104" spans="1:15" ht="30" customHeight="1" x14ac:dyDescent="0.2">
      <c r="B104" s="202">
        <v>77</v>
      </c>
      <c r="C104" s="212"/>
      <c r="D104" s="203" t="s">
        <v>219</v>
      </c>
      <c r="E104" s="203" t="s">
        <v>115</v>
      </c>
      <c r="F104" s="74"/>
      <c r="G104" s="204">
        <v>15</v>
      </c>
      <c r="H104" s="196">
        <v>81.866399999999999</v>
      </c>
      <c r="I104" s="118">
        <f t="shared" si="70"/>
        <v>1228</v>
      </c>
      <c r="J104" s="118">
        <f t="shared" si="71"/>
        <v>138.63999999999999</v>
      </c>
      <c r="K104" s="153">
        <f t="shared" si="72"/>
        <v>0</v>
      </c>
      <c r="L104" s="153">
        <f t="shared" si="73"/>
        <v>0</v>
      </c>
      <c r="M104" s="118">
        <f t="shared" si="74"/>
        <v>1366.6399999999999</v>
      </c>
      <c r="N104" s="122"/>
      <c r="O104" s="48"/>
    </row>
    <row r="105" spans="1:15" ht="30" customHeight="1" x14ac:dyDescent="0.2">
      <c r="B105" s="202">
        <v>78</v>
      </c>
      <c r="C105" s="212" t="s">
        <v>347</v>
      </c>
      <c r="D105" s="203" t="s">
        <v>353</v>
      </c>
      <c r="E105" s="203" t="s">
        <v>54</v>
      </c>
      <c r="F105" s="75"/>
      <c r="G105" s="204">
        <v>15</v>
      </c>
      <c r="H105" s="220">
        <v>95</v>
      </c>
      <c r="I105" s="118">
        <f t="shared" si="70"/>
        <v>1425</v>
      </c>
      <c r="J105" s="118">
        <f t="shared" si="71"/>
        <v>125.93</v>
      </c>
      <c r="K105" s="153">
        <f t="shared" si="72"/>
        <v>0</v>
      </c>
      <c r="L105" s="153">
        <f t="shared" si="73"/>
        <v>0</v>
      </c>
      <c r="M105" s="118">
        <f t="shared" si="74"/>
        <v>1550.93</v>
      </c>
      <c r="N105" s="122"/>
      <c r="O105" s="48"/>
    </row>
    <row r="106" spans="1:15" ht="30" customHeight="1" x14ac:dyDescent="0.2">
      <c r="B106" s="202">
        <v>79</v>
      </c>
      <c r="C106" s="212" t="s">
        <v>347</v>
      </c>
      <c r="D106" s="203" t="s">
        <v>489</v>
      </c>
      <c r="E106" s="203" t="s">
        <v>42</v>
      </c>
      <c r="F106" s="75"/>
      <c r="G106" s="369">
        <v>15</v>
      </c>
      <c r="H106" s="220">
        <v>172.2664</v>
      </c>
      <c r="I106" s="118">
        <v>2584</v>
      </c>
      <c r="J106" s="118">
        <v>11.42</v>
      </c>
      <c r="K106" s="153">
        <v>0</v>
      </c>
      <c r="L106" s="153">
        <v>0</v>
      </c>
      <c r="M106" s="118">
        <v>2595.42</v>
      </c>
      <c r="N106" s="122"/>
      <c r="O106" s="48"/>
    </row>
    <row r="107" spans="1:15" ht="30" customHeight="1" x14ac:dyDescent="0.2">
      <c r="B107" s="202"/>
      <c r="C107" s="212"/>
      <c r="D107" s="203"/>
      <c r="E107" s="214" t="s">
        <v>33</v>
      </c>
      <c r="F107" s="425"/>
      <c r="G107" s="427"/>
      <c r="H107" s="426"/>
      <c r="I107" s="119">
        <f>SUM(I93:I106)</f>
        <v>27290</v>
      </c>
      <c r="J107" s="119">
        <f t="shared" ref="J107:M107" si="79">SUM(J93:J106)</f>
        <v>1258.3100000000002</v>
      </c>
      <c r="K107" s="119">
        <f t="shared" si="79"/>
        <v>326.17</v>
      </c>
      <c r="L107" s="119">
        <f t="shared" si="79"/>
        <v>326.17</v>
      </c>
      <c r="M107" s="119">
        <f t="shared" si="79"/>
        <v>28222.14</v>
      </c>
      <c r="N107" s="123">
        <f t="shared" ref="N107" si="80">SUM(N93:N105)</f>
        <v>0</v>
      </c>
      <c r="O107" s="48"/>
    </row>
    <row r="108" spans="1:15" ht="30" customHeight="1" x14ac:dyDescent="0.2">
      <c r="B108" s="417" t="s">
        <v>53</v>
      </c>
      <c r="C108" s="418"/>
      <c r="D108" s="419"/>
      <c r="E108" s="419"/>
      <c r="F108" s="419"/>
      <c r="G108" s="419"/>
      <c r="H108" s="419"/>
      <c r="I108" s="419"/>
      <c r="J108" s="419"/>
      <c r="K108" s="419"/>
      <c r="L108" s="419"/>
      <c r="M108" s="419"/>
      <c r="N108" s="420"/>
      <c r="O108" s="48"/>
    </row>
    <row r="109" spans="1:15" ht="30" customHeight="1" x14ac:dyDescent="0.2">
      <c r="B109" s="202">
        <v>80</v>
      </c>
      <c r="C109" s="212"/>
      <c r="D109" s="203" t="s">
        <v>179</v>
      </c>
      <c r="E109" s="203" t="s">
        <v>56</v>
      </c>
      <c r="F109" s="74"/>
      <c r="G109" s="204">
        <v>15</v>
      </c>
      <c r="H109" s="196">
        <v>122.8664</v>
      </c>
      <c r="I109" s="118">
        <f t="shared" ref="I109:I122" si="81">ROUND(G109*H109,2)</f>
        <v>1843</v>
      </c>
      <c r="J109" s="118">
        <f t="shared" ref="J109:J122" si="82"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87.26</v>
      </c>
      <c r="K109" s="153">
        <f t="shared" ref="K109:K122" si="83">IF(H109&lt;=248.93,0,(IFERROR(IF(ROUND((((I109/G109*30.4)-VLOOKUP((I109/G109*30.4),TARIFA,1))*VLOOKUP((I109/G109*30.4),TARIFA,3)+VLOOKUP((I109/G109*30.4),TARIFA,2)-VLOOKUP((I109/G109*30.4),SUBSIDIO,2))/30.4*G109,2)&gt;0,ROUND((((I109/G109*30.4)-VLOOKUP((I109/G109*30.4),TARIFA,1))*VLOOKUP((I109/G109*30.4),TARIFA,3)+VLOOKUP((I109/G109*30.4),TARIFA,2)-VLOOKUP((I109/G109*30.4),SUBSIDIO,2))/30.4*G109,2),0),0)))</f>
        <v>0</v>
      </c>
      <c r="L109" s="153">
        <f t="shared" ref="L109:L122" si="84">K109</f>
        <v>0</v>
      </c>
      <c r="M109" s="118">
        <f t="shared" ref="M109:M122" si="85">I109+J109-L109</f>
        <v>1930.26</v>
      </c>
      <c r="N109" s="122"/>
      <c r="O109" s="48"/>
    </row>
    <row r="110" spans="1:15" ht="30" customHeight="1" x14ac:dyDescent="0.2">
      <c r="B110" s="202">
        <v>81</v>
      </c>
      <c r="C110" s="212" t="s">
        <v>347</v>
      </c>
      <c r="D110" s="203" t="s">
        <v>155</v>
      </c>
      <c r="E110" s="203" t="s">
        <v>118</v>
      </c>
      <c r="F110" s="74"/>
      <c r="G110" s="204">
        <v>15</v>
      </c>
      <c r="H110" s="196">
        <v>82</v>
      </c>
      <c r="I110" s="118">
        <f t="shared" si="81"/>
        <v>1230</v>
      </c>
      <c r="J110" s="118">
        <f t="shared" si="82"/>
        <v>138.51</v>
      </c>
      <c r="K110" s="153">
        <f t="shared" si="83"/>
        <v>0</v>
      </c>
      <c r="L110" s="153">
        <f t="shared" si="84"/>
        <v>0</v>
      </c>
      <c r="M110" s="118">
        <f t="shared" si="85"/>
        <v>1368.51</v>
      </c>
      <c r="N110" s="122"/>
      <c r="O110" s="48"/>
    </row>
    <row r="111" spans="1:15" ht="30" customHeight="1" x14ac:dyDescent="0.2">
      <c r="A111" s="28">
        <v>82</v>
      </c>
      <c r="B111" s="202">
        <v>82</v>
      </c>
      <c r="C111" s="212"/>
      <c r="D111" s="203" t="s">
        <v>220</v>
      </c>
      <c r="E111" s="203" t="s">
        <v>118</v>
      </c>
      <c r="F111" s="74"/>
      <c r="G111" s="204">
        <v>15</v>
      </c>
      <c r="H111" s="196">
        <v>82</v>
      </c>
      <c r="I111" s="118">
        <f t="shared" si="81"/>
        <v>1230</v>
      </c>
      <c r="J111" s="118">
        <f t="shared" si="82"/>
        <v>138.51</v>
      </c>
      <c r="K111" s="153">
        <f t="shared" si="83"/>
        <v>0</v>
      </c>
      <c r="L111" s="153">
        <f t="shared" si="84"/>
        <v>0</v>
      </c>
      <c r="M111" s="118">
        <f t="shared" si="85"/>
        <v>1368.51</v>
      </c>
      <c r="N111" s="122"/>
      <c r="O111" s="48"/>
    </row>
    <row r="112" spans="1:15" ht="30" customHeight="1" x14ac:dyDescent="0.2">
      <c r="B112" s="202">
        <v>83</v>
      </c>
      <c r="C112" s="212"/>
      <c r="D112" s="203" t="s">
        <v>389</v>
      </c>
      <c r="E112" s="203" t="s">
        <v>65</v>
      </c>
      <c r="F112" s="74"/>
      <c r="G112" s="204">
        <v>15</v>
      </c>
      <c r="H112" s="196">
        <v>195</v>
      </c>
      <c r="I112" s="118">
        <f t="shared" si="81"/>
        <v>2925</v>
      </c>
      <c r="J112" s="153">
        <f t="shared" si="82"/>
        <v>0</v>
      </c>
      <c r="K112" s="153">
        <f t="shared" si="83"/>
        <v>0</v>
      </c>
      <c r="L112" s="153">
        <f>K112</f>
        <v>0</v>
      </c>
      <c r="M112" s="118">
        <f>I112+J112-L112</f>
        <v>2925</v>
      </c>
      <c r="N112" s="122"/>
      <c r="O112" s="48"/>
    </row>
    <row r="113" spans="1:15" ht="30" customHeight="1" x14ac:dyDescent="0.2">
      <c r="B113" s="202">
        <v>84</v>
      </c>
      <c r="C113" s="212" t="s">
        <v>347</v>
      </c>
      <c r="D113" s="203" t="s">
        <v>279</v>
      </c>
      <c r="E113" s="203" t="s">
        <v>65</v>
      </c>
      <c r="F113" s="74"/>
      <c r="G113" s="204">
        <v>15</v>
      </c>
      <c r="H113" s="196">
        <v>193.2</v>
      </c>
      <c r="I113" s="118">
        <f t="shared" ref="I113" si="86">ROUND(G113*H113,2)</f>
        <v>2898</v>
      </c>
      <c r="J113" s="153">
        <f t="shared" ref="J113" si="87">IFERROR(IF(ROUND((((I113/G113*30.4)-VLOOKUP((I113/G113*30.4),TARIFA,1))*VLOOKUP((I113/G113*30.4),TARIFA,3)+VLOOKUP((I113/G113*30.4),TARIFA,2)-VLOOKUP((I113/G113*30.4),SUBSIDIO,2))/30.4*G113,2)&lt;0,ROUND(-(((I113/G113*30.4)-VLOOKUP((I113/G113*30.4),TARIFA,1))*VLOOKUP((I113/G113*30.4),TARIFA,3)+VLOOKUP((I113/G113*30.4),TARIFA,2)-VLOOKUP((I113/G113*30.4),SUBSIDIO,2))/30.4*G113,2),0),0)</f>
        <v>0</v>
      </c>
      <c r="K113" s="153">
        <f t="shared" ref="K113" si="88">IF(H113&lt;=248.93,0,(IFERROR(IF(ROUND((((I113/G113*30.4)-VLOOKUP((I113/G113*30.4),TARIFA,1))*VLOOKUP((I113/G113*30.4),TARIFA,3)+VLOOKUP((I113/G113*30.4),TARIFA,2)-VLOOKUP((I113/G113*30.4),SUBSIDIO,2))/30.4*G113,2)&gt;0,ROUND((((I113/G113*30.4)-VLOOKUP((I113/G113*30.4),TARIFA,1))*VLOOKUP((I113/G113*30.4),TARIFA,3)+VLOOKUP((I113/G113*30.4),TARIFA,2)-VLOOKUP((I113/G113*30.4),SUBSIDIO,2))/30.4*G113,2),0),0)))</f>
        <v>0</v>
      </c>
      <c r="L113" s="153">
        <f>K113</f>
        <v>0</v>
      </c>
      <c r="M113" s="118">
        <f>I113+J113-L113</f>
        <v>2898</v>
      </c>
      <c r="N113" s="122"/>
      <c r="O113" s="48"/>
    </row>
    <row r="114" spans="1:15" ht="30" customHeight="1" x14ac:dyDescent="0.2">
      <c r="B114" s="202">
        <v>85</v>
      </c>
      <c r="C114" s="212" t="s">
        <v>347</v>
      </c>
      <c r="D114" s="203" t="s">
        <v>390</v>
      </c>
      <c r="E114" s="203" t="s">
        <v>67</v>
      </c>
      <c r="F114" s="74"/>
      <c r="G114" s="204">
        <v>15</v>
      </c>
      <c r="H114" s="196">
        <v>104</v>
      </c>
      <c r="I114" s="118">
        <f t="shared" si="81"/>
        <v>1560</v>
      </c>
      <c r="J114" s="118">
        <f t="shared" si="82"/>
        <v>117.29</v>
      </c>
      <c r="K114" s="153">
        <f t="shared" si="83"/>
        <v>0</v>
      </c>
      <c r="L114" s="153">
        <f t="shared" si="84"/>
        <v>0</v>
      </c>
      <c r="M114" s="118">
        <f t="shared" si="85"/>
        <v>1677.29</v>
      </c>
      <c r="N114" s="122"/>
      <c r="O114" s="48"/>
    </row>
    <row r="115" spans="1:15" ht="30" customHeight="1" x14ac:dyDescent="0.2">
      <c r="B115" s="202">
        <v>86</v>
      </c>
      <c r="C115" s="212" t="s">
        <v>347</v>
      </c>
      <c r="D115" s="203" t="s">
        <v>221</v>
      </c>
      <c r="E115" s="203" t="s">
        <v>67</v>
      </c>
      <c r="F115" s="74"/>
      <c r="G115" s="204">
        <v>15</v>
      </c>
      <c r="H115" s="196">
        <v>83.2</v>
      </c>
      <c r="I115" s="118">
        <f t="shared" si="81"/>
        <v>1248</v>
      </c>
      <c r="J115" s="118">
        <f t="shared" si="82"/>
        <v>137.36000000000001</v>
      </c>
      <c r="K115" s="153">
        <f t="shared" si="83"/>
        <v>0</v>
      </c>
      <c r="L115" s="153">
        <f t="shared" si="84"/>
        <v>0</v>
      </c>
      <c r="M115" s="118">
        <f t="shared" si="85"/>
        <v>1385.3600000000001</v>
      </c>
      <c r="N115" s="122"/>
      <c r="O115" s="48"/>
    </row>
    <row r="116" spans="1:15" ht="30" customHeight="1" x14ac:dyDescent="0.2">
      <c r="B116" s="202">
        <v>87</v>
      </c>
      <c r="C116" s="212"/>
      <c r="D116" s="203" t="s">
        <v>145</v>
      </c>
      <c r="E116" s="203" t="s">
        <v>67</v>
      </c>
      <c r="F116" s="74"/>
      <c r="G116" s="204">
        <v>15</v>
      </c>
      <c r="H116" s="196">
        <v>102.6</v>
      </c>
      <c r="I116" s="118">
        <f t="shared" si="81"/>
        <v>1539</v>
      </c>
      <c r="J116" s="118">
        <f t="shared" si="82"/>
        <v>118.63</v>
      </c>
      <c r="K116" s="153">
        <f t="shared" si="83"/>
        <v>0</v>
      </c>
      <c r="L116" s="153">
        <f t="shared" si="84"/>
        <v>0</v>
      </c>
      <c r="M116" s="118">
        <f t="shared" si="85"/>
        <v>1657.63</v>
      </c>
      <c r="N116" s="122"/>
      <c r="O116" s="48"/>
    </row>
    <row r="117" spans="1:15" ht="30" customHeight="1" x14ac:dyDescent="0.2">
      <c r="B117" s="202">
        <v>88</v>
      </c>
      <c r="C117" s="212" t="s">
        <v>347</v>
      </c>
      <c r="D117" s="203" t="s">
        <v>227</v>
      </c>
      <c r="E117" s="203" t="s">
        <v>71</v>
      </c>
      <c r="F117" s="74"/>
      <c r="G117" s="204">
        <v>15</v>
      </c>
      <c r="H117" s="196">
        <v>129.733</v>
      </c>
      <c r="I117" s="118">
        <f t="shared" si="81"/>
        <v>1946</v>
      </c>
      <c r="J117" s="118">
        <f t="shared" si="82"/>
        <v>80.66</v>
      </c>
      <c r="K117" s="153">
        <f t="shared" si="83"/>
        <v>0</v>
      </c>
      <c r="L117" s="153">
        <f t="shared" si="84"/>
        <v>0</v>
      </c>
      <c r="M117" s="118">
        <f t="shared" si="85"/>
        <v>2026.66</v>
      </c>
      <c r="N117" s="122"/>
      <c r="O117" s="48"/>
    </row>
    <row r="118" spans="1:15" ht="30" customHeight="1" x14ac:dyDescent="0.2">
      <c r="B118" s="202">
        <v>89</v>
      </c>
      <c r="C118" s="212"/>
      <c r="D118" s="203" t="s">
        <v>226</v>
      </c>
      <c r="E118" s="203" t="s">
        <v>70</v>
      </c>
      <c r="F118" s="74"/>
      <c r="G118" s="204">
        <v>15</v>
      </c>
      <c r="H118" s="196">
        <v>220.8</v>
      </c>
      <c r="I118" s="118">
        <f t="shared" si="81"/>
        <v>3312</v>
      </c>
      <c r="J118" s="153">
        <f t="shared" si="82"/>
        <v>0</v>
      </c>
      <c r="K118" s="153">
        <f t="shared" si="83"/>
        <v>0</v>
      </c>
      <c r="L118" s="153">
        <f t="shared" si="84"/>
        <v>0</v>
      </c>
      <c r="M118" s="118">
        <f t="shared" si="85"/>
        <v>3312</v>
      </c>
      <c r="N118" s="122"/>
      <c r="O118" s="48"/>
    </row>
    <row r="119" spans="1:15" ht="30" customHeight="1" x14ac:dyDescent="0.2">
      <c r="B119" s="202">
        <v>90</v>
      </c>
      <c r="C119" s="212" t="s">
        <v>347</v>
      </c>
      <c r="D119" s="203" t="s">
        <v>225</v>
      </c>
      <c r="E119" s="203" t="s">
        <v>70</v>
      </c>
      <c r="F119" s="74"/>
      <c r="G119" s="204">
        <v>15</v>
      </c>
      <c r="H119" s="196">
        <v>104</v>
      </c>
      <c r="I119" s="118">
        <f t="shared" si="81"/>
        <v>1560</v>
      </c>
      <c r="J119" s="118">
        <f t="shared" si="82"/>
        <v>117.29</v>
      </c>
      <c r="K119" s="153">
        <f t="shared" si="83"/>
        <v>0</v>
      </c>
      <c r="L119" s="153">
        <f t="shared" si="84"/>
        <v>0</v>
      </c>
      <c r="M119" s="118">
        <f t="shared" si="85"/>
        <v>1677.29</v>
      </c>
      <c r="N119" s="122"/>
      <c r="O119" s="48"/>
    </row>
    <row r="120" spans="1:15" s="315" customFormat="1" ht="30" customHeight="1" x14ac:dyDescent="0.2">
      <c r="A120" s="28"/>
      <c r="B120" s="202">
        <v>91</v>
      </c>
      <c r="C120" s="212" t="s">
        <v>347</v>
      </c>
      <c r="D120" s="203" t="s">
        <v>224</v>
      </c>
      <c r="E120" s="203" t="s">
        <v>37</v>
      </c>
      <c r="F120" s="74"/>
      <c r="G120" s="204">
        <v>15</v>
      </c>
      <c r="H120" s="196">
        <v>138.66640000000001</v>
      </c>
      <c r="I120" s="118">
        <f t="shared" si="81"/>
        <v>2080</v>
      </c>
      <c r="J120" s="118">
        <f t="shared" si="82"/>
        <v>72.09</v>
      </c>
      <c r="K120" s="153">
        <f t="shared" si="83"/>
        <v>0</v>
      </c>
      <c r="L120" s="153">
        <f t="shared" si="84"/>
        <v>0</v>
      </c>
      <c r="M120" s="118">
        <f t="shared" si="85"/>
        <v>2152.09</v>
      </c>
      <c r="N120" s="122"/>
      <c r="O120" s="85"/>
    </row>
    <row r="121" spans="1:15" s="315" customFormat="1" ht="30" customHeight="1" x14ac:dyDescent="0.2">
      <c r="A121" s="28"/>
      <c r="B121" s="202">
        <v>92</v>
      </c>
      <c r="C121" s="212"/>
      <c r="D121" s="203" t="s">
        <v>223</v>
      </c>
      <c r="E121" s="203" t="s">
        <v>119</v>
      </c>
      <c r="F121" s="74"/>
      <c r="G121" s="204">
        <v>15</v>
      </c>
      <c r="H121" s="196">
        <v>133.6</v>
      </c>
      <c r="I121" s="118">
        <f t="shared" si="81"/>
        <v>2004</v>
      </c>
      <c r="J121" s="118">
        <f t="shared" si="82"/>
        <v>76.95</v>
      </c>
      <c r="K121" s="153">
        <f t="shared" si="83"/>
        <v>0</v>
      </c>
      <c r="L121" s="153">
        <f t="shared" si="84"/>
        <v>0</v>
      </c>
      <c r="M121" s="118">
        <f t="shared" si="85"/>
        <v>2080.9499999999998</v>
      </c>
      <c r="N121" s="122"/>
      <c r="O121" s="85"/>
    </row>
    <row r="122" spans="1:15" s="315" customFormat="1" ht="30" customHeight="1" x14ac:dyDescent="0.2">
      <c r="A122" s="28"/>
      <c r="B122" s="202">
        <v>93</v>
      </c>
      <c r="C122" s="212" t="s">
        <v>347</v>
      </c>
      <c r="D122" s="203" t="s">
        <v>222</v>
      </c>
      <c r="E122" s="203" t="s">
        <v>94</v>
      </c>
      <c r="F122" s="74"/>
      <c r="G122" s="204">
        <v>15</v>
      </c>
      <c r="H122" s="196">
        <v>104</v>
      </c>
      <c r="I122" s="118">
        <f t="shared" si="81"/>
        <v>1560</v>
      </c>
      <c r="J122" s="118">
        <f t="shared" si="82"/>
        <v>117.29</v>
      </c>
      <c r="K122" s="153">
        <f t="shared" si="83"/>
        <v>0</v>
      </c>
      <c r="L122" s="153">
        <f t="shared" si="84"/>
        <v>0</v>
      </c>
      <c r="M122" s="118">
        <f t="shared" si="85"/>
        <v>1677.29</v>
      </c>
      <c r="N122" s="122"/>
      <c r="O122" s="85"/>
    </row>
    <row r="123" spans="1:15" ht="30" customHeight="1" x14ac:dyDescent="0.2">
      <c r="B123" s="202"/>
      <c r="C123" s="212"/>
      <c r="D123" s="203"/>
      <c r="E123" s="214" t="s">
        <v>33</v>
      </c>
      <c r="F123" s="425"/>
      <c r="G123" s="427"/>
      <c r="H123" s="426"/>
      <c r="I123" s="119">
        <f>SUM(I109:I122)</f>
        <v>26935</v>
      </c>
      <c r="J123" s="119">
        <f t="shared" ref="J123:N123" si="89">SUM(J109:J122)</f>
        <v>1201.8399999999999</v>
      </c>
      <c r="K123" s="154">
        <f t="shared" si="89"/>
        <v>0</v>
      </c>
      <c r="L123" s="154">
        <f t="shared" si="89"/>
        <v>0</v>
      </c>
      <c r="M123" s="119">
        <f t="shared" si="89"/>
        <v>28136.840000000004</v>
      </c>
      <c r="N123" s="123">
        <f t="shared" si="89"/>
        <v>0</v>
      </c>
      <c r="O123" s="48"/>
    </row>
    <row r="124" spans="1:15" ht="30" customHeight="1" x14ac:dyDescent="0.2">
      <c r="B124" s="417" t="s">
        <v>55</v>
      </c>
      <c r="C124" s="418"/>
      <c r="D124" s="419"/>
      <c r="E124" s="419"/>
      <c r="F124" s="419"/>
      <c r="G124" s="419"/>
      <c r="H124" s="419"/>
      <c r="I124" s="419"/>
      <c r="J124" s="419"/>
      <c r="K124" s="419"/>
      <c r="L124" s="419"/>
      <c r="M124" s="419"/>
      <c r="N124" s="420"/>
      <c r="O124" s="48"/>
    </row>
    <row r="125" spans="1:15" ht="30" customHeight="1" x14ac:dyDescent="0.2">
      <c r="B125" s="202">
        <v>94</v>
      </c>
      <c r="C125" s="212" t="s">
        <v>347</v>
      </c>
      <c r="D125" s="203" t="s">
        <v>228</v>
      </c>
      <c r="E125" s="203" t="s">
        <v>117</v>
      </c>
      <c r="F125" s="74"/>
      <c r="G125" s="204">
        <v>15</v>
      </c>
      <c r="H125" s="215">
        <v>186.2664</v>
      </c>
      <c r="I125" s="118">
        <f t="shared" ref="I125:I129" si="90">ROUND(G125*H125,2)</f>
        <v>2794</v>
      </c>
      <c r="J125" s="153">
        <f t="shared" ref="J125:J129" si="91">IFERROR(IF(ROUND((((I125/G125*30.4)-VLOOKUP((I125/G125*30.4),TARIFA,1))*VLOOKUP((I125/G125*30.4),TARIFA,3)+VLOOKUP((I125/G125*30.4),TARIFA,2)-VLOOKUP((I125/G125*30.4),SUBSIDIO,2))/30.4*G125,2)&lt;0,ROUND(-(((I125/G125*30.4)-VLOOKUP((I125/G125*30.4),TARIFA,1))*VLOOKUP((I125/G125*30.4),TARIFA,3)+VLOOKUP((I125/G125*30.4),TARIFA,2)-VLOOKUP((I125/G125*30.4),SUBSIDIO,2))/30.4*G125,2),0),0)</f>
        <v>0</v>
      </c>
      <c r="K125" s="153">
        <f t="shared" ref="K125:K130" si="92">IF(H125&lt;=248.93,0,(IFERROR(IF(ROUND((((I125/G125*30.4)-VLOOKUP((I125/G125*30.4),TARIFA,1))*VLOOKUP((I125/G125*30.4),TARIFA,3)+VLOOKUP((I125/G125*30.4),TARIFA,2)-VLOOKUP((I125/G125*30.4),SUBSIDIO,2))/30.4*G125,2)&gt;0,ROUND((((I125/G125*30.4)-VLOOKUP((I125/G125*30.4),TARIFA,1))*VLOOKUP((I125/G125*30.4),TARIFA,3)+VLOOKUP((I125/G125*30.4),TARIFA,2)-VLOOKUP((I125/G125*30.4),SUBSIDIO,2))/30.4*G125,2),0),0)))</f>
        <v>0</v>
      </c>
      <c r="L125" s="153">
        <f t="shared" ref="L125:L129" si="93">K125</f>
        <v>0</v>
      </c>
      <c r="M125" s="118">
        <f t="shared" ref="M125:M129" si="94">I125+J125-L125</f>
        <v>2794</v>
      </c>
      <c r="N125" s="122"/>
      <c r="O125" s="48"/>
    </row>
    <row r="126" spans="1:15" ht="30" customHeight="1" x14ac:dyDescent="0.2">
      <c r="B126" s="202">
        <v>95</v>
      </c>
      <c r="C126" s="212" t="s">
        <v>347</v>
      </c>
      <c r="D126" s="203" t="s">
        <v>229</v>
      </c>
      <c r="E126" s="203" t="s">
        <v>56</v>
      </c>
      <c r="F126" s="74"/>
      <c r="G126" s="204">
        <v>15</v>
      </c>
      <c r="H126" s="215">
        <v>138.66640000000001</v>
      </c>
      <c r="I126" s="118">
        <f t="shared" si="90"/>
        <v>2080</v>
      </c>
      <c r="J126" s="118">
        <f t="shared" si="91"/>
        <v>72.09</v>
      </c>
      <c r="K126" s="153">
        <f t="shared" si="92"/>
        <v>0</v>
      </c>
      <c r="L126" s="153">
        <f t="shared" si="93"/>
        <v>0</v>
      </c>
      <c r="M126" s="118">
        <f t="shared" si="94"/>
        <v>2152.09</v>
      </c>
      <c r="N126" s="122"/>
      <c r="O126" s="48"/>
    </row>
    <row r="127" spans="1:15" ht="30" customHeight="1" x14ac:dyDescent="0.2">
      <c r="B127" s="202">
        <v>96</v>
      </c>
      <c r="C127" s="212"/>
      <c r="D127" s="203" t="s">
        <v>230</v>
      </c>
      <c r="E127" s="203" t="s">
        <v>119</v>
      </c>
      <c r="F127" s="63"/>
      <c r="G127" s="204">
        <v>15</v>
      </c>
      <c r="H127" s="215">
        <v>261.8</v>
      </c>
      <c r="I127" s="118">
        <f t="shared" si="90"/>
        <v>3927</v>
      </c>
      <c r="J127" s="153">
        <f t="shared" si="91"/>
        <v>0</v>
      </c>
      <c r="K127" s="118">
        <f t="shared" si="92"/>
        <v>270.79000000000002</v>
      </c>
      <c r="L127" s="118">
        <f t="shared" si="93"/>
        <v>270.79000000000002</v>
      </c>
      <c r="M127" s="118">
        <f t="shared" si="94"/>
        <v>3656.21</v>
      </c>
      <c r="N127" s="122"/>
      <c r="O127" s="48"/>
    </row>
    <row r="128" spans="1:15" ht="30" customHeight="1" x14ac:dyDescent="0.2">
      <c r="B128" s="202">
        <v>97</v>
      </c>
      <c r="C128" s="212" t="s">
        <v>347</v>
      </c>
      <c r="D128" s="203" t="s">
        <v>231</v>
      </c>
      <c r="E128" s="203" t="s">
        <v>69</v>
      </c>
      <c r="F128" s="74"/>
      <c r="G128" s="204">
        <v>15</v>
      </c>
      <c r="H128" s="215">
        <v>125.533</v>
      </c>
      <c r="I128" s="118">
        <f t="shared" si="90"/>
        <v>1883</v>
      </c>
      <c r="J128" s="118">
        <f t="shared" si="91"/>
        <v>84.7</v>
      </c>
      <c r="K128" s="153">
        <f t="shared" si="92"/>
        <v>0</v>
      </c>
      <c r="L128" s="153">
        <f t="shared" si="93"/>
        <v>0</v>
      </c>
      <c r="M128" s="118">
        <f t="shared" si="94"/>
        <v>1967.7</v>
      </c>
      <c r="N128" s="122"/>
      <c r="O128" s="48"/>
    </row>
    <row r="129" spans="2:15" ht="30" customHeight="1" x14ac:dyDescent="0.2">
      <c r="B129" s="202">
        <v>98</v>
      </c>
      <c r="C129" s="212" t="s">
        <v>347</v>
      </c>
      <c r="D129" s="203" t="s">
        <v>350</v>
      </c>
      <c r="E129" s="203" t="s">
        <v>348</v>
      </c>
      <c r="F129" s="74"/>
      <c r="G129" s="204">
        <v>15</v>
      </c>
      <c r="H129" s="215">
        <v>102.46639999999999</v>
      </c>
      <c r="I129" s="118">
        <f t="shared" si="90"/>
        <v>1537</v>
      </c>
      <c r="J129" s="118">
        <f t="shared" si="91"/>
        <v>118.76</v>
      </c>
      <c r="K129" s="153">
        <f t="shared" si="92"/>
        <v>0</v>
      </c>
      <c r="L129" s="153">
        <f t="shared" si="93"/>
        <v>0</v>
      </c>
      <c r="M129" s="118">
        <f t="shared" si="94"/>
        <v>1655.76</v>
      </c>
      <c r="N129" s="122"/>
      <c r="O129" s="48"/>
    </row>
    <row r="130" spans="2:15" ht="44.45" customHeight="1" x14ac:dyDescent="0.2">
      <c r="B130" s="202">
        <v>99</v>
      </c>
      <c r="C130" s="212" t="s">
        <v>347</v>
      </c>
      <c r="D130" s="203" t="s">
        <v>383</v>
      </c>
      <c r="E130" s="203" t="s">
        <v>384</v>
      </c>
      <c r="F130" s="74"/>
      <c r="G130" s="204">
        <v>15</v>
      </c>
      <c r="H130" s="215">
        <v>95.2</v>
      </c>
      <c r="I130" s="118">
        <f t="shared" ref="I130" si="95">ROUND(G130*H130,2)</f>
        <v>1428</v>
      </c>
      <c r="J130" s="118">
        <f t="shared" ref="J130" si="96">IFERROR(IF(ROUND((((I130/G130*30.4)-VLOOKUP((I130/G130*30.4),TARIFA,1))*VLOOKUP((I130/G130*30.4),TARIFA,3)+VLOOKUP((I130/G130*30.4),TARIFA,2)-VLOOKUP((I130/G130*30.4),SUBSIDIO,2))/30.4*G130,2)&lt;0,ROUND(-(((I130/G130*30.4)-VLOOKUP((I130/G130*30.4),TARIFA,1))*VLOOKUP((I130/G130*30.4),TARIFA,3)+VLOOKUP((I130/G130*30.4),TARIFA,2)-VLOOKUP((I130/G130*30.4),SUBSIDIO,2))/30.4*G130,2),0),0)</f>
        <v>125.74</v>
      </c>
      <c r="K130" s="153">
        <f t="shared" si="92"/>
        <v>0</v>
      </c>
      <c r="L130" s="153">
        <f t="shared" ref="L130" si="97">K130</f>
        <v>0</v>
      </c>
      <c r="M130" s="118">
        <f t="shared" ref="M130" si="98">I130+J130-L130</f>
        <v>1553.74</v>
      </c>
      <c r="N130" s="122"/>
      <c r="O130" s="48"/>
    </row>
    <row r="131" spans="2:15" ht="30" customHeight="1" x14ac:dyDescent="0.2">
      <c r="B131" s="202"/>
      <c r="C131" s="212"/>
      <c r="D131" s="203"/>
      <c r="E131" s="214" t="s">
        <v>33</v>
      </c>
      <c r="F131" s="425"/>
      <c r="G131" s="427"/>
      <c r="H131" s="426"/>
      <c r="I131" s="119">
        <f>SUM(I125:I130)</f>
        <v>13649</v>
      </c>
      <c r="J131" s="119">
        <f t="shared" ref="J131:L131" si="99">SUM(J125:J130)</f>
        <v>401.29</v>
      </c>
      <c r="K131" s="119">
        <f t="shared" si="99"/>
        <v>270.79000000000002</v>
      </c>
      <c r="L131" s="119">
        <f t="shared" si="99"/>
        <v>270.79000000000002</v>
      </c>
      <c r="M131" s="119">
        <f>SUM(M125:M130)</f>
        <v>13779.5</v>
      </c>
      <c r="N131" s="123">
        <f>SUM(N125:N128)</f>
        <v>0</v>
      </c>
      <c r="O131" s="48"/>
    </row>
    <row r="132" spans="2:15" ht="30" customHeight="1" x14ac:dyDescent="0.2">
      <c r="B132" s="417" t="s">
        <v>57</v>
      </c>
      <c r="C132" s="418"/>
      <c r="D132" s="419"/>
      <c r="E132" s="419"/>
      <c r="F132" s="419"/>
      <c r="G132" s="419"/>
      <c r="H132" s="419"/>
      <c r="I132" s="419"/>
      <c r="J132" s="419"/>
      <c r="K132" s="419"/>
      <c r="L132" s="419"/>
      <c r="M132" s="419"/>
      <c r="N132" s="420"/>
      <c r="O132" s="48"/>
    </row>
    <row r="133" spans="2:15" s="4" customFormat="1" ht="30" customHeight="1" x14ac:dyDescent="0.2">
      <c r="B133" s="221">
        <v>100</v>
      </c>
      <c r="C133" s="222"/>
      <c r="D133" s="203" t="s">
        <v>232</v>
      </c>
      <c r="E133" s="219" t="s">
        <v>68</v>
      </c>
      <c r="F133" s="63"/>
      <c r="G133" s="63">
        <v>15</v>
      </c>
      <c r="H133" s="223">
        <v>203.8664</v>
      </c>
      <c r="I133" s="118">
        <f t="shared" ref="I133:I136" si="100">ROUND(G133*H133,2)</f>
        <v>3058</v>
      </c>
      <c r="J133" s="153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0</v>
      </c>
      <c r="K133" s="153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3">
        <f>K133</f>
        <v>0</v>
      </c>
      <c r="M133" s="118">
        <f>I133+J133-L133</f>
        <v>3058</v>
      </c>
      <c r="N133" s="122"/>
      <c r="O133" s="48"/>
    </row>
    <row r="134" spans="2:15" s="4" customFormat="1" ht="30" customHeight="1" x14ac:dyDescent="0.2">
      <c r="B134" s="221">
        <v>101</v>
      </c>
      <c r="C134" s="222"/>
      <c r="D134" s="203" t="s">
        <v>233</v>
      </c>
      <c r="E134" s="219" t="s">
        <v>42</v>
      </c>
      <c r="F134" s="63"/>
      <c r="G134" s="63">
        <v>15</v>
      </c>
      <c r="H134" s="223">
        <v>46</v>
      </c>
      <c r="I134" s="118">
        <f t="shared" si="100"/>
        <v>690</v>
      </c>
      <c r="J134" s="118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173.17</v>
      </c>
      <c r="K134" s="153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3">
        <f>K134</f>
        <v>0</v>
      </c>
      <c r="M134" s="118">
        <f>I134+J134-L134</f>
        <v>863.17</v>
      </c>
      <c r="N134" s="122"/>
      <c r="O134" s="48"/>
    </row>
    <row r="135" spans="2:15" s="5" customFormat="1" ht="30" customHeight="1" x14ac:dyDescent="0.2">
      <c r="B135" s="202">
        <v>102</v>
      </c>
      <c r="C135" s="212" t="s">
        <v>347</v>
      </c>
      <c r="D135" s="219" t="s">
        <v>234</v>
      </c>
      <c r="E135" s="203" t="s">
        <v>93</v>
      </c>
      <c r="F135" s="74"/>
      <c r="G135" s="204">
        <v>15</v>
      </c>
      <c r="H135" s="196">
        <v>277.33300000000003</v>
      </c>
      <c r="I135" s="118">
        <f t="shared" si="100"/>
        <v>4160</v>
      </c>
      <c r="J135" s="153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0</v>
      </c>
      <c r="K135" s="118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296.14999999999998</v>
      </c>
      <c r="L135" s="118">
        <f>K135</f>
        <v>296.14999999999998</v>
      </c>
      <c r="M135" s="118">
        <f>I135+J135-L135</f>
        <v>3863.85</v>
      </c>
      <c r="N135" s="122"/>
      <c r="O135" s="48"/>
    </row>
    <row r="136" spans="2:15" s="5" customFormat="1" ht="30" customHeight="1" x14ac:dyDescent="0.2">
      <c r="B136" s="202">
        <v>103</v>
      </c>
      <c r="C136" s="212" t="s">
        <v>347</v>
      </c>
      <c r="D136" s="219" t="s">
        <v>158</v>
      </c>
      <c r="E136" s="203" t="s">
        <v>54</v>
      </c>
      <c r="F136" s="75"/>
      <c r="G136" s="204">
        <v>15</v>
      </c>
      <c r="H136" s="220">
        <v>95.266400000000004</v>
      </c>
      <c r="I136" s="118">
        <f t="shared" si="100"/>
        <v>1429</v>
      </c>
      <c r="J136" s="118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125.67</v>
      </c>
      <c r="K136" s="153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0</v>
      </c>
      <c r="L136" s="153">
        <f>K136</f>
        <v>0</v>
      </c>
      <c r="M136" s="118">
        <f>I136+J136-L136</f>
        <v>1554.67</v>
      </c>
      <c r="N136" s="122"/>
      <c r="O136" s="48"/>
    </row>
    <row r="137" spans="2:15" ht="30" customHeight="1" x14ac:dyDescent="0.2">
      <c r="B137" s="202"/>
      <c r="C137" s="212"/>
      <c r="D137" s="203"/>
      <c r="E137" s="214" t="s">
        <v>33</v>
      </c>
      <c r="F137" s="425"/>
      <c r="G137" s="427"/>
      <c r="H137" s="426"/>
      <c r="I137" s="119">
        <f>SUM(I133:I136)</f>
        <v>9337</v>
      </c>
      <c r="J137" s="119">
        <f t="shared" ref="J137:N137" si="101">SUM(J133:J136)</f>
        <v>298.83999999999997</v>
      </c>
      <c r="K137" s="119">
        <f t="shared" si="101"/>
        <v>296.14999999999998</v>
      </c>
      <c r="L137" s="119">
        <f t="shared" si="101"/>
        <v>296.14999999999998</v>
      </c>
      <c r="M137" s="119">
        <f>SUM(M133:M136)</f>
        <v>9339.69</v>
      </c>
      <c r="N137" s="123">
        <f t="shared" si="101"/>
        <v>0</v>
      </c>
      <c r="O137" s="48"/>
    </row>
    <row r="138" spans="2:15" ht="30" customHeight="1" x14ac:dyDescent="0.2">
      <c r="B138" s="417" t="s">
        <v>73</v>
      </c>
      <c r="C138" s="418"/>
      <c r="D138" s="419"/>
      <c r="E138" s="419"/>
      <c r="F138" s="419"/>
      <c r="G138" s="419"/>
      <c r="H138" s="419"/>
      <c r="I138" s="419"/>
      <c r="J138" s="419"/>
      <c r="K138" s="419"/>
      <c r="L138" s="419"/>
      <c r="M138" s="419"/>
      <c r="N138" s="420"/>
      <c r="O138" s="48"/>
    </row>
    <row r="139" spans="2:15" ht="30" customHeight="1" x14ac:dyDescent="0.2">
      <c r="B139" s="202">
        <v>104</v>
      </c>
      <c r="C139" s="212"/>
      <c r="D139" s="203" t="s">
        <v>235</v>
      </c>
      <c r="E139" s="203" t="s">
        <v>60</v>
      </c>
      <c r="F139" s="74"/>
      <c r="G139" s="204">
        <v>15</v>
      </c>
      <c r="H139" s="196">
        <v>270.39999999999998</v>
      </c>
      <c r="I139" s="118">
        <f>ROUND(G139*H139,2)</f>
        <v>4056</v>
      </c>
      <c r="J139" s="153">
        <f>IFERROR(IF(ROUND((((I139/G139*30.4)-VLOOKUP((I139/G139*30.4),TARIFA,1))*VLOOKUP((I139/G139*30.4),TARIFA,3)+VLOOKUP((I139/G139*30.4),TARIFA,2)-VLOOKUP((I139/G139*30.4),SUBSIDIO,2))/30.4*G139,2)&lt;0,ROUND(-(((I139/G139*30.4)-VLOOKUP((I139/G139*30.4),TARIFA,1))*VLOOKUP((I139/G139*30.4),TARIFA,3)+VLOOKUP((I139/G139*30.4),TARIFA,2)-VLOOKUP((I139/G139*30.4),SUBSIDIO,2))/30.4*G139,2),0),0)</f>
        <v>0</v>
      </c>
      <c r="K139" s="118">
        <f>IF(H139&lt;=248.93,0,(IFERROR(IF(ROUND((((I139/G139*30.4)-VLOOKUP((I139/G139*30.4),TARIFA,1))*VLOOKUP((I139/G139*30.4),TARIFA,3)+VLOOKUP((I139/G139*30.4),TARIFA,2)-VLOOKUP((I139/G139*30.4),SUBSIDIO,2))/30.4*G139,2)&gt;0,ROUND((((I139/G139*30.4)-VLOOKUP((I139/G139*30.4),TARIFA,1))*VLOOKUP((I139/G139*30.4),TARIFA,3)+VLOOKUP((I139/G139*30.4),TARIFA,2)-VLOOKUP((I139/G139*30.4),SUBSIDIO,2))/30.4*G139,2),0),0)))</f>
        <v>284.83</v>
      </c>
      <c r="L139" s="118">
        <f>K139</f>
        <v>284.83</v>
      </c>
      <c r="M139" s="118">
        <f>I139+J139-L139</f>
        <v>3771.17</v>
      </c>
      <c r="N139" s="122"/>
      <c r="O139" s="48"/>
    </row>
    <row r="140" spans="2:15" ht="30" customHeight="1" x14ac:dyDescent="0.2">
      <c r="B140" s="202"/>
      <c r="C140" s="212"/>
      <c r="D140" s="203"/>
      <c r="E140" s="214" t="s">
        <v>33</v>
      </c>
      <c r="F140" s="224"/>
      <c r="G140" s="425"/>
      <c r="H140" s="426"/>
      <c r="I140" s="119">
        <f t="shared" ref="I140:N140" si="102">SUM(I139:I139)</f>
        <v>4056</v>
      </c>
      <c r="J140" s="154">
        <f t="shared" si="102"/>
        <v>0</v>
      </c>
      <c r="K140" s="119">
        <f t="shared" si="102"/>
        <v>284.83</v>
      </c>
      <c r="L140" s="119">
        <f t="shared" si="102"/>
        <v>284.83</v>
      </c>
      <c r="M140" s="119">
        <f t="shared" si="102"/>
        <v>3771.17</v>
      </c>
      <c r="N140" s="123">
        <f t="shared" si="102"/>
        <v>0</v>
      </c>
      <c r="O140" s="48"/>
    </row>
    <row r="141" spans="2:15" ht="30" customHeight="1" x14ac:dyDescent="0.2">
      <c r="B141" s="421" t="s">
        <v>104</v>
      </c>
      <c r="C141" s="422"/>
      <c r="D141" s="423"/>
      <c r="E141" s="423"/>
      <c r="F141" s="423"/>
      <c r="G141" s="423"/>
      <c r="H141" s="423"/>
      <c r="I141" s="423"/>
      <c r="J141" s="423"/>
      <c r="K141" s="423"/>
      <c r="L141" s="423"/>
      <c r="M141" s="423"/>
      <c r="N141" s="424"/>
      <c r="O141" s="48"/>
    </row>
    <row r="142" spans="2:15" s="5" customFormat="1" ht="30" customHeight="1" x14ac:dyDescent="0.2">
      <c r="B142" s="202">
        <v>105</v>
      </c>
      <c r="C142" s="212"/>
      <c r="D142" s="203" t="s">
        <v>236</v>
      </c>
      <c r="E142" s="203" t="s">
        <v>42</v>
      </c>
      <c r="F142" s="74"/>
      <c r="G142" s="204">
        <v>15</v>
      </c>
      <c r="H142" s="215">
        <v>277.33300000000003</v>
      </c>
      <c r="I142" s="118">
        <f>ROUND(G142*H142,2)</f>
        <v>4160</v>
      </c>
      <c r="J142" s="153">
        <f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0</v>
      </c>
      <c r="K142" s="118">
        <f>IF(H142&lt;=248.93,0,(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))</f>
        <v>296.14999999999998</v>
      </c>
      <c r="L142" s="118">
        <f>K142</f>
        <v>296.14999999999998</v>
      </c>
      <c r="M142" s="118">
        <f>I142+J142-L142</f>
        <v>3863.85</v>
      </c>
      <c r="N142" s="122"/>
      <c r="O142" s="48"/>
    </row>
    <row r="143" spans="2:15" ht="30" customHeight="1" x14ac:dyDescent="0.2">
      <c r="B143" s="202"/>
      <c r="C143" s="212"/>
      <c r="D143" s="203"/>
      <c r="E143" s="214" t="s">
        <v>33</v>
      </c>
      <c r="F143" s="224"/>
      <c r="G143" s="425"/>
      <c r="H143" s="426"/>
      <c r="I143" s="119">
        <f t="shared" ref="I143:N143" si="103">SUM(I142:I142)</f>
        <v>4160</v>
      </c>
      <c r="J143" s="154">
        <f t="shared" si="103"/>
        <v>0</v>
      </c>
      <c r="K143" s="119">
        <f t="shared" si="103"/>
        <v>296.14999999999998</v>
      </c>
      <c r="L143" s="119">
        <f t="shared" si="103"/>
        <v>296.14999999999998</v>
      </c>
      <c r="M143" s="119">
        <f t="shared" si="103"/>
        <v>3863.85</v>
      </c>
      <c r="N143" s="123">
        <f t="shared" si="103"/>
        <v>0</v>
      </c>
      <c r="O143" s="48"/>
    </row>
    <row r="144" spans="2:15" ht="30" customHeight="1" x14ac:dyDescent="0.2">
      <c r="B144" s="227"/>
      <c r="C144" s="225"/>
      <c r="D144" s="228"/>
      <c r="E144" s="229"/>
      <c r="F144" s="225"/>
      <c r="G144" s="225"/>
      <c r="H144" s="225"/>
      <c r="I144" s="225"/>
      <c r="J144" s="225"/>
      <c r="K144" s="225"/>
      <c r="L144" s="225"/>
      <c r="M144" s="225"/>
      <c r="N144" s="226"/>
      <c r="O144" s="48"/>
    </row>
    <row r="145" spans="1:15" s="83" customFormat="1" ht="30" customHeight="1" x14ac:dyDescent="0.2">
      <c r="A145" s="40"/>
      <c r="B145" s="428" t="s">
        <v>128</v>
      </c>
      <c r="C145" s="427"/>
      <c r="D145" s="427"/>
      <c r="E145" s="427"/>
      <c r="F145" s="427"/>
      <c r="G145" s="427"/>
      <c r="H145" s="426"/>
      <c r="I145" s="230">
        <f>I18+I21+I27+I35+I44+I62+I68+I79+I83+I91+I107+I123+I131+I137+I140+I143</f>
        <v>283040.82</v>
      </c>
      <c r="J145" s="230">
        <f>J18+J21+J27+J35+J44+J62+J68+J79+J83+J91+J107+J123+J131+J137+J140+J143</f>
        <v>5507.2800000000007</v>
      </c>
      <c r="K145" s="230">
        <f>K18+K21+K27+K35+K44+K62+K68+K79+K83+K91+K107+K123+K131+K137+K140+K143</f>
        <v>8374.32</v>
      </c>
      <c r="L145" s="230">
        <f>L18+L21+L27+L35+L44+L62+L68+L79+L83+L91+L107+L123+L131+L137+L140+L143</f>
        <v>8374.32</v>
      </c>
      <c r="M145" s="230">
        <f>M18+M21+M27+M35+M44+M62+M68+M79+M83+M91+M107+M123+M131+M137+M140+M143</f>
        <v>280173.77999999991</v>
      </c>
      <c r="N145" s="230"/>
      <c r="O145" s="56"/>
    </row>
    <row r="146" spans="1:15" s="83" customFormat="1" ht="30" customHeight="1" x14ac:dyDescent="0.2">
      <c r="B146" s="231"/>
      <c r="C146" s="4"/>
      <c r="D146" s="232"/>
      <c r="E146" s="233"/>
      <c r="F146" s="234"/>
      <c r="G146" s="234"/>
      <c r="H146" s="234"/>
      <c r="I146" s="87"/>
      <c r="J146" s="87"/>
      <c r="K146" s="87"/>
      <c r="L146" s="87"/>
      <c r="M146" s="87"/>
      <c r="N146" s="125"/>
      <c r="O146" s="56"/>
    </row>
    <row r="147" spans="1:15" ht="30" customHeight="1" x14ac:dyDescent="0.2">
      <c r="B147" s="231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48"/>
    </row>
    <row r="148" spans="1:15" ht="31.5" customHeight="1" x14ac:dyDescent="0.2">
      <c r="B148" s="231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48"/>
    </row>
    <row r="149" spans="1:15" ht="31.5" customHeight="1" x14ac:dyDescent="0.2">
      <c r="B149" s="231"/>
      <c r="D149" s="232"/>
      <c r="E149" s="233"/>
      <c r="F149" s="234"/>
      <c r="G149" s="234"/>
      <c r="H149" s="234"/>
      <c r="I149" s="87"/>
      <c r="J149" s="87"/>
      <c r="K149" s="87"/>
      <c r="L149" s="87"/>
      <c r="M149" s="87"/>
      <c r="N149" s="125"/>
      <c r="O149" s="49"/>
    </row>
    <row r="150" spans="1:15" ht="21.75" customHeight="1" x14ac:dyDescent="0.2">
      <c r="B150" s="235"/>
      <c r="C150" s="61"/>
      <c r="N150" s="126"/>
      <c r="O150" s="48"/>
    </row>
    <row r="151" spans="1:15" ht="21.75" customHeight="1" x14ac:dyDescent="0.2">
      <c r="B151" s="236" t="s">
        <v>448</v>
      </c>
      <c r="C151" s="237"/>
      <c r="D151" s="416" t="s">
        <v>480</v>
      </c>
      <c r="E151" s="416"/>
      <c r="F151" s="416"/>
      <c r="K151" s="237" t="s">
        <v>289</v>
      </c>
      <c r="L151" s="237"/>
      <c r="N151" s="126"/>
      <c r="O151" s="48"/>
    </row>
    <row r="152" spans="1:15" ht="21.75" customHeight="1" x14ac:dyDescent="0.2">
      <c r="B152" s="238"/>
      <c r="C152" s="120"/>
      <c r="D152" s="416" t="s">
        <v>288</v>
      </c>
      <c r="E152" s="416"/>
      <c r="F152" s="416"/>
      <c r="K152" s="416" t="s">
        <v>288</v>
      </c>
      <c r="L152" s="416"/>
      <c r="M152" s="416"/>
      <c r="N152" s="126"/>
      <c r="O152" s="48"/>
    </row>
    <row r="153" spans="1:15" ht="21.75" customHeight="1" thickBot="1" x14ac:dyDescent="0.25">
      <c r="B153" s="239"/>
      <c r="C153" s="240"/>
      <c r="D153" s="241"/>
      <c r="E153" s="242"/>
      <c r="F153" s="127"/>
      <c r="G153" s="127"/>
      <c r="H153" s="127"/>
      <c r="I153" s="127"/>
      <c r="J153" s="127"/>
      <c r="K153" s="127"/>
      <c r="L153" s="127"/>
      <c r="M153" s="127"/>
      <c r="N153" s="243"/>
      <c r="O153" s="48"/>
    </row>
    <row r="154" spans="1:15" ht="21.75" customHeight="1" x14ac:dyDescent="0.2">
      <c r="B154" s="88"/>
      <c r="C154" s="88"/>
      <c r="O154" s="31"/>
    </row>
    <row r="155" spans="1:15" ht="18" customHeight="1" x14ac:dyDescent="0.2">
      <c r="B155" s="120"/>
      <c r="C155" s="120"/>
    </row>
    <row r="156" spans="1:15" x14ac:dyDescent="0.2">
      <c r="B156" s="120"/>
      <c r="C156" s="120"/>
      <c r="K156" s="25" t="s">
        <v>90</v>
      </c>
      <c r="L156" s="147">
        <f>M8+M9+M11+M12+M14+M15+M17+M31+M33+M34+M38+M41+M42+M46+M47+M49+M50+M51+M52+M53+M54+M56+M57+M58+M59+M60+M61+M64+M65+M66+M67+M70+M71+M72+M75+M76+M77+M82+M86+M87+M88+M95+M100+M101+M102+M105+M110+M113+M114+M115+M117+M119+M120+M122+M125+M126+M128+M129+M130+M135+M136+M90+M43+M13+M106+M78</f>
        <v>168201.16000000006</v>
      </c>
    </row>
    <row r="157" spans="1:15" x14ac:dyDescent="0.2">
      <c r="B157" s="120"/>
      <c r="C157" s="120"/>
      <c r="K157" s="25" t="s">
        <v>91</v>
      </c>
      <c r="L157" s="147">
        <f>M10+M16+M20+M23+M24+M25+M26+M29+M30+M32+M37+M39+M40+M48+M55+M73+M74+M81+M85+M89+M109+M111+M112+M116+M118+M121+M127+M133+M134+M139+M142+M93+M94+M96+M97+M98+M99+M103+M104</f>
        <v>111972.62000000002</v>
      </c>
    </row>
    <row r="158" spans="1:15" x14ac:dyDescent="0.2">
      <c r="B158" s="120"/>
      <c r="C158" s="120"/>
      <c r="L158" s="147">
        <f>SUM(L156:L157)</f>
        <v>280173.78000000009</v>
      </c>
    </row>
    <row r="159" spans="1:15" x14ac:dyDescent="0.2">
      <c r="B159" s="120"/>
      <c r="C159" s="120"/>
    </row>
    <row r="160" spans="1:15" x14ac:dyDescent="0.2">
      <c r="B160" s="120"/>
      <c r="C160" s="120"/>
      <c r="K160" s="25" t="s">
        <v>297</v>
      </c>
      <c r="L160" s="148">
        <f>L158-M145</f>
        <v>0</v>
      </c>
    </row>
    <row r="161" spans="2:3" x14ac:dyDescent="0.2">
      <c r="B161" s="120"/>
      <c r="C161" s="120"/>
    </row>
  </sheetData>
  <mergeCells count="39">
    <mergeCell ref="F91:H91"/>
    <mergeCell ref="B69:N69"/>
    <mergeCell ref="E2:K2"/>
    <mergeCell ref="E5:K5"/>
    <mergeCell ref="L5:N5"/>
    <mergeCell ref="D6:J6"/>
    <mergeCell ref="F18:H18"/>
    <mergeCell ref="B19:N19"/>
    <mergeCell ref="B22:N22"/>
    <mergeCell ref="B84:N84"/>
    <mergeCell ref="B45:N45"/>
    <mergeCell ref="D152:F152"/>
    <mergeCell ref="K152:M152"/>
    <mergeCell ref="F21:H21"/>
    <mergeCell ref="B145:H145"/>
    <mergeCell ref="B63:N63"/>
    <mergeCell ref="F62:H62"/>
    <mergeCell ref="F27:H27"/>
    <mergeCell ref="F35:H35"/>
    <mergeCell ref="G143:H143"/>
    <mergeCell ref="F68:H68"/>
    <mergeCell ref="F79:H79"/>
    <mergeCell ref="F83:H83"/>
    <mergeCell ref="B28:N28"/>
    <mergeCell ref="F44:H44"/>
    <mergeCell ref="B36:N36"/>
    <mergeCell ref="B80:N80"/>
    <mergeCell ref="D151:F151"/>
    <mergeCell ref="B92:N92"/>
    <mergeCell ref="B141:N141"/>
    <mergeCell ref="B138:N138"/>
    <mergeCell ref="G140:H140"/>
    <mergeCell ref="B108:N108"/>
    <mergeCell ref="F107:H107"/>
    <mergeCell ref="F123:H123"/>
    <mergeCell ref="F131:H131"/>
    <mergeCell ref="F137:H137"/>
    <mergeCell ref="B124:N124"/>
    <mergeCell ref="B132:N132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topLeftCell="B1" zoomScale="70" zoomScaleNormal="70" workbookViewId="0">
      <selection activeCell="F16" sqref="F16:F23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309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310</v>
      </c>
    </row>
    <row r="11" spans="1:41" s="29" customFormat="1" ht="15" x14ac:dyDescent="0.2">
      <c r="A11" s="5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39"/>
      <c r="AL11" s="171"/>
      <c r="AM11" s="174"/>
    </row>
    <row r="12" spans="1:41" s="29" customFormat="1" ht="15" x14ac:dyDescent="0.2">
      <c r="A12" s="5"/>
      <c r="B12" s="431" t="s">
        <v>477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133</v>
      </c>
      <c r="H13" s="37" t="s">
        <v>1</v>
      </c>
      <c r="I13" s="392" t="s">
        <v>0</v>
      </c>
      <c r="J13" s="392"/>
      <c r="K13" s="392"/>
      <c r="L13" s="392"/>
      <c r="M13" s="392"/>
      <c r="N13" s="392"/>
      <c r="O13" s="392"/>
      <c r="P13" s="392"/>
      <c r="Q13" s="37"/>
      <c r="R13" s="37" t="s">
        <v>311</v>
      </c>
      <c r="S13" s="37"/>
      <c r="T13" s="432" t="s">
        <v>312</v>
      </c>
      <c r="U13" s="432"/>
      <c r="V13" s="432"/>
      <c r="W13" s="432"/>
      <c r="X13" s="432"/>
      <c r="Y13" s="432"/>
      <c r="Z13" s="37" t="s">
        <v>313</v>
      </c>
      <c r="AA13" s="37" t="s">
        <v>3</v>
      </c>
      <c r="AB13" s="37"/>
      <c r="AC13" s="433" t="s">
        <v>314</v>
      </c>
      <c r="AD13" s="432" t="s">
        <v>315</v>
      </c>
      <c r="AE13" s="432"/>
      <c r="AF13" s="432"/>
      <c r="AG13" s="432"/>
      <c r="AH13" s="432"/>
      <c r="AI13" s="432"/>
      <c r="AJ13" s="434" t="s">
        <v>308</v>
      </c>
      <c r="AK13" s="38"/>
      <c r="AL13" s="171"/>
      <c r="AM13" s="174"/>
    </row>
    <row r="14" spans="1:41" s="29" customFormat="1" x14ac:dyDescent="0.2">
      <c r="A14" s="5"/>
      <c r="B14" s="37" t="s">
        <v>134</v>
      </c>
      <c r="C14" s="37" t="s">
        <v>347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3" t="s">
        <v>92</v>
      </c>
      <c r="J14" s="37" t="s">
        <v>316</v>
      </c>
      <c r="K14" s="37" t="s">
        <v>316</v>
      </c>
      <c r="L14" s="37" t="s">
        <v>317</v>
      </c>
      <c r="M14" s="37" t="s">
        <v>311</v>
      </c>
      <c r="N14" s="37" t="s">
        <v>318</v>
      </c>
      <c r="O14" s="433" t="s">
        <v>319</v>
      </c>
      <c r="P14" s="433" t="s">
        <v>136</v>
      </c>
      <c r="Q14" s="37"/>
      <c r="R14" s="37" t="s">
        <v>320</v>
      </c>
      <c r="S14" s="37" t="s">
        <v>321</v>
      </c>
      <c r="T14" s="37" t="s">
        <v>5</v>
      </c>
      <c r="U14" s="37" t="s">
        <v>322</v>
      </c>
      <c r="V14" s="37" t="s">
        <v>323</v>
      </c>
      <c r="W14" s="37" t="s">
        <v>324</v>
      </c>
      <c r="X14" s="37" t="s">
        <v>7</v>
      </c>
      <c r="Y14" s="37" t="s">
        <v>3</v>
      </c>
      <c r="Z14" s="37" t="s">
        <v>325</v>
      </c>
      <c r="AA14" s="37" t="s">
        <v>326</v>
      </c>
      <c r="AB14" s="37"/>
      <c r="AC14" s="433"/>
      <c r="AD14" s="37" t="s">
        <v>327</v>
      </c>
      <c r="AE14" s="37" t="s">
        <v>328</v>
      </c>
      <c r="AF14" s="37" t="s">
        <v>313</v>
      </c>
      <c r="AG14" s="37" t="s">
        <v>329</v>
      </c>
      <c r="AH14" s="151" t="s">
        <v>330</v>
      </c>
      <c r="AI14" s="433" t="s">
        <v>331</v>
      </c>
      <c r="AJ14" s="434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3"/>
      <c r="J15" s="37" t="s">
        <v>332</v>
      </c>
      <c r="K15" s="37" t="s">
        <v>333</v>
      </c>
      <c r="L15" s="37"/>
      <c r="M15" s="37" t="s">
        <v>320</v>
      </c>
      <c r="N15" s="37" t="s">
        <v>334</v>
      </c>
      <c r="O15" s="433"/>
      <c r="P15" s="433"/>
      <c r="Q15" s="37"/>
      <c r="R15" s="37" t="s">
        <v>335</v>
      </c>
      <c r="S15" s="37" t="s">
        <v>336</v>
      </c>
      <c r="T15" s="37" t="s">
        <v>6</v>
      </c>
      <c r="U15" s="37" t="s">
        <v>337</v>
      </c>
      <c r="V15" s="37" t="s">
        <v>337</v>
      </c>
      <c r="W15" s="37" t="s">
        <v>338</v>
      </c>
      <c r="X15" s="37" t="s">
        <v>8</v>
      </c>
      <c r="Y15" s="37" t="s">
        <v>339</v>
      </c>
      <c r="Z15" s="37" t="s">
        <v>12</v>
      </c>
      <c r="AA15" s="37" t="s">
        <v>340</v>
      </c>
      <c r="AB15" s="37"/>
      <c r="AC15" s="433"/>
      <c r="AD15" s="37"/>
      <c r="AE15" s="37"/>
      <c r="AF15" s="37" t="s">
        <v>341</v>
      </c>
      <c r="AG15" s="37" t="s">
        <v>342</v>
      </c>
      <c r="AH15" s="37"/>
      <c r="AI15" s="433"/>
      <c r="AJ15" s="434"/>
      <c r="AK15" s="37" t="s">
        <v>305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347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347</v>
      </c>
      <c r="D17" s="244" t="s">
        <v>252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347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347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347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347</v>
      </c>
      <c r="D21" s="244" t="s">
        <v>156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347</v>
      </c>
      <c r="D22" s="253" t="s">
        <v>125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s="29" customFormat="1" ht="30.75" customHeight="1" x14ac:dyDescent="0.2">
      <c r="A23" s="5"/>
      <c r="B23" s="38">
        <v>8</v>
      </c>
      <c r="C23" s="38" t="s">
        <v>347</v>
      </c>
      <c r="D23" s="253" t="s">
        <v>482</v>
      </c>
      <c r="E23" s="245" t="s">
        <v>30</v>
      </c>
      <c r="F23" s="38"/>
      <c r="G23" s="38">
        <v>15</v>
      </c>
      <c r="H23" s="246">
        <v>106.133</v>
      </c>
      <c r="I23" s="118">
        <f t="shared" ref="I23" si="12">ROUND(G23*H23,2)</f>
        <v>1592</v>
      </c>
      <c r="J23" s="247">
        <v>0</v>
      </c>
      <c r="K23" s="247">
        <f t="shared" ref="K23" si="13">J23</f>
        <v>0</v>
      </c>
      <c r="L23" s="247">
        <v>0</v>
      </c>
      <c r="M23" s="247">
        <v>0</v>
      </c>
      <c r="N23" s="247">
        <v>0</v>
      </c>
      <c r="O23" s="247">
        <v>0</v>
      </c>
      <c r="P23" s="168">
        <f t="shared" ref="P23" si="14">SUM(I23:O23)</f>
        <v>1592</v>
      </c>
      <c r="Q23" s="248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9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8"/>
      <c r="AC23" s="168">
        <v>0</v>
      </c>
      <c r="AD23" s="168">
        <f t="shared" ref="AD23" si="21">IF(AA23&lt;0,0,AA23)</f>
        <v>0</v>
      </c>
      <c r="AE23" s="168">
        <v>0</v>
      </c>
      <c r="AF23" s="247">
        <v>0</v>
      </c>
      <c r="AG23" s="247">
        <v>0</v>
      </c>
      <c r="AH23" s="251">
        <v>0</v>
      </c>
      <c r="AI23" s="168">
        <f t="shared" ref="AI23" si="22">SUM(AD23:AH23)</f>
        <v>0</v>
      </c>
      <c r="AJ23" s="252">
        <f>P23+AC23-AI23</f>
        <v>1592</v>
      </c>
      <c r="AK23" s="38"/>
      <c r="AL23" s="50"/>
      <c r="AM23" s="175"/>
    </row>
    <row r="24" spans="1:40" x14ac:dyDescent="0.2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.5" thickBot="1" x14ac:dyDescent="0.25">
      <c r="B25" s="435" t="s">
        <v>17</v>
      </c>
      <c r="C25" s="436"/>
      <c r="D25" s="436"/>
      <c r="E25" s="436"/>
      <c r="F25" s="436"/>
      <c r="G25" s="436"/>
      <c r="H25" s="437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2">
      <c r="B35" s="39"/>
      <c r="C35" s="39"/>
      <c r="D35" s="438" t="s">
        <v>480</v>
      </c>
      <c r="E35" s="438"/>
      <c r="F35" s="23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9" t="s">
        <v>274</v>
      </c>
      <c r="AD35" s="439"/>
      <c r="AE35" s="439"/>
      <c r="AF35" s="439"/>
      <c r="AG35" s="439"/>
      <c r="AH35" s="439"/>
      <c r="AI35" s="439"/>
      <c r="AJ35" s="439"/>
      <c r="AK35" s="439"/>
      <c r="AL35" s="171"/>
    </row>
    <row r="36" spans="1:38" ht="31.5" customHeight="1" x14ac:dyDescent="0.2">
      <c r="B36" s="39"/>
      <c r="C36" s="39"/>
      <c r="D36" s="440" t="s">
        <v>139</v>
      </c>
      <c r="E36" s="4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9" t="s">
        <v>343</v>
      </c>
      <c r="AD36" s="439"/>
      <c r="AE36" s="439"/>
      <c r="AF36" s="439"/>
      <c r="AG36" s="439"/>
      <c r="AH36" s="439"/>
      <c r="AI36" s="439"/>
      <c r="AJ36" s="439"/>
      <c r="AK36" s="439"/>
      <c r="AL36" s="171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</f>
        <v>11144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11144</v>
      </c>
      <c r="AK41" s="48"/>
      <c r="AL41" s="182"/>
    </row>
    <row r="42" spans="1:38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2">
      <c r="AJ43" s="184"/>
    </row>
  </sheetData>
  <mergeCells count="16">
    <mergeCell ref="B25:H25"/>
    <mergeCell ref="D35:E35"/>
    <mergeCell ref="AC35:AK35"/>
    <mergeCell ref="D36:E36"/>
    <mergeCell ref="AC36:AK36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18" workbookViewId="0">
      <selection activeCell="E49" sqref="E49:E53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40" t="s">
        <v>95</v>
      </c>
      <c r="D3" s="440"/>
      <c r="E3" s="440"/>
      <c r="F3" s="440"/>
      <c r="G3" s="440"/>
      <c r="H3" s="440"/>
      <c r="I3" s="440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41" t="s">
        <v>477</v>
      </c>
      <c r="B6" s="441"/>
      <c r="C6" s="441"/>
      <c r="D6" s="441"/>
      <c r="E6" s="441"/>
      <c r="F6" s="441"/>
      <c r="G6" s="441"/>
      <c r="H6" s="441"/>
      <c r="I6" s="441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2" t="s">
        <v>134</v>
      </c>
      <c r="B7" s="197"/>
      <c r="C7" s="445" t="s">
        <v>14</v>
      </c>
      <c r="D7" s="445" t="s">
        <v>27</v>
      </c>
      <c r="E7" s="38"/>
      <c r="F7" s="37" t="s">
        <v>133</v>
      </c>
      <c r="G7" s="37" t="s">
        <v>1</v>
      </c>
      <c r="H7" s="448" t="s">
        <v>308</v>
      </c>
      <c r="I7" s="442" t="s">
        <v>305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3"/>
      <c r="B8" s="198" t="s">
        <v>347</v>
      </c>
      <c r="C8" s="446"/>
      <c r="D8" s="446"/>
      <c r="E8" s="37" t="s">
        <v>96</v>
      </c>
      <c r="F8" s="51" t="s">
        <v>15</v>
      </c>
      <c r="G8" s="37" t="s">
        <v>16</v>
      </c>
      <c r="H8" s="449"/>
      <c r="I8" s="443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4"/>
      <c r="B9" s="199"/>
      <c r="C9" s="447"/>
      <c r="D9" s="447"/>
      <c r="E9" s="37"/>
      <c r="F9" s="37"/>
      <c r="G9" s="37"/>
      <c r="H9" s="450"/>
      <c r="I9" s="444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347</v>
      </c>
      <c r="C10" s="254" t="s">
        <v>253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347</v>
      </c>
      <c r="C11" s="254" t="s">
        <v>254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347</v>
      </c>
      <c r="C12" s="254" t="s">
        <v>255</v>
      </c>
      <c r="D12" s="81" t="s">
        <v>137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347</v>
      </c>
      <c r="C13" s="254" t="s">
        <v>460</v>
      </c>
      <c r="D13" s="81" t="s">
        <v>138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347</v>
      </c>
      <c r="C14" s="254" t="s">
        <v>256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347</v>
      </c>
      <c r="C15" s="254" t="s">
        <v>257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347</v>
      </c>
      <c r="C16" s="254" t="s">
        <v>258</v>
      </c>
      <c r="D16" s="81" t="s">
        <v>141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347</v>
      </c>
      <c r="C17" s="256" t="s">
        <v>130</v>
      </c>
      <c r="D17" s="257" t="s">
        <v>131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347</v>
      </c>
      <c r="C18" s="256" t="s">
        <v>259</v>
      </c>
      <c r="D18" s="81" t="s">
        <v>140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347</v>
      </c>
      <c r="C19" s="256" t="s">
        <v>142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307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347</v>
      </c>
      <c r="C20" s="259" t="s">
        <v>270</v>
      </c>
      <c r="D20" s="256" t="s">
        <v>148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347</v>
      </c>
      <c r="C21" s="256" t="s">
        <v>306</v>
      </c>
      <c r="D21" s="259" t="s">
        <v>149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53" t="s">
        <v>17</v>
      </c>
      <c r="B22" s="454"/>
      <c r="C22" s="454"/>
      <c r="D22" s="454"/>
      <c r="E22" s="454"/>
      <c r="F22" s="454"/>
      <c r="G22" s="455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8" t="s">
        <v>480</v>
      </c>
      <c r="B26" s="438"/>
      <c r="C26" s="438"/>
      <c r="D26" s="44"/>
      <c r="E26" s="41"/>
      <c r="F26" s="41"/>
      <c r="G26" s="41"/>
      <c r="H26" s="439" t="s">
        <v>274</v>
      </c>
      <c r="I26" s="439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40" t="s">
        <v>127</v>
      </c>
      <c r="B27" s="440"/>
      <c r="C27" s="440"/>
      <c r="D27" s="44"/>
      <c r="E27" s="39"/>
      <c r="F27" s="39"/>
      <c r="G27" s="39"/>
      <c r="H27" s="440" t="s">
        <v>99</v>
      </c>
      <c r="I27" s="440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0" t="s">
        <v>123</v>
      </c>
      <c r="B44" s="430"/>
      <c r="C44" s="430"/>
      <c r="D44" s="430"/>
      <c r="E44" s="430"/>
      <c r="F44" s="430"/>
      <c r="G44" s="430"/>
      <c r="H44" s="430"/>
      <c r="I44" s="430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56" t="s">
        <v>477</v>
      </c>
      <c r="B45" s="456"/>
      <c r="C45" s="456"/>
      <c r="D45" s="456"/>
      <c r="E45" s="456"/>
      <c r="F45" s="456"/>
      <c r="G45" s="456"/>
      <c r="H45" s="456"/>
      <c r="I45" s="456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133</v>
      </c>
      <c r="G46" s="166" t="s">
        <v>1</v>
      </c>
      <c r="H46" s="191" t="s">
        <v>298</v>
      </c>
      <c r="I46" s="442" t="s">
        <v>305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134</v>
      </c>
      <c r="B47" s="52" t="s">
        <v>347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304</v>
      </c>
      <c r="I47" s="443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303</v>
      </c>
      <c r="I48" s="444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347</v>
      </c>
      <c r="C49" s="254" t="s">
        <v>260</v>
      </c>
      <c r="D49" s="264" t="s">
        <v>124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347</v>
      </c>
      <c r="C50" s="254" t="s">
        <v>345</v>
      </c>
      <c r="D50" s="264" t="s">
        <v>346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347</v>
      </c>
      <c r="C51" s="254" t="s">
        <v>261</v>
      </c>
      <c r="D51" s="265" t="s">
        <v>105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347</v>
      </c>
      <c r="C52" s="254" t="s">
        <v>262</v>
      </c>
      <c r="D52" s="264" t="s">
        <v>129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347</v>
      </c>
      <c r="C53" s="254" t="s">
        <v>153</v>
      </c>
      <c r="D53" s="264" t="s">
        <v>151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57" t="s">
        <v>17</v>
      </c>
      <c r="B54" s="384"/>
      <c r="C54" s="384"/>
      <c r="D54" s="384"/>
      <c r="E54" s="384"/>
      <c r="F54" s="384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40" t="s">
        <v>480</v>
      </c>
      <c r="B59" s="440"/>
      <c r="C59" s="440"/>
      <c r="D59" s="440"/>
      <c r="E59" s="48"/>
      <c r="F59" s="48"/>
      <c r="G59" s="48"/>
      <c r="H59" s="190"/>
      <c r="I59" s="458" t="s">
        <v>302</v>
      </c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</row>
    <row r="60" spans="1:37" ht="20.25" customHeight="1" x14ac:dyDescent="0.2">
      <c r="A60" s="451" t="s">
        <v>127</v>
      </c>
      <c r="B60" s="451"/>
      <c r="C60" s="451"/>
      <c r="D60" s="451"/>
      <c r="E60" s="48"/>
      <c r="F60" s="48"/>
      <c r="G60" s="48"/>
      <c r="H60" s="190"/>
      <c r="I60" s="452" t="s">
        <v>99</v>
      </c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298</v>
      </c>
      <c r="H69" s="195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1"/>
  <sheetViews>
    <sheetView showGridLines="0" zoomScale="84" zoomScaleNormal="84" workbookViewId="0">
      <selection activeCell="F8" sqref="F8:F35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411" t="s">
        <v>294</v>
      </c>
      <c r="F2" s="411"/>
      <c r="G2" s="411"/>
      <c r="H2" s="411"/>
      <c r="I2" s="411"/>
      <c r="J2" s="411"/>
      <c r="K2" s="411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411" t="s">
        <v>392</v>
      </c>
      <c r="F5" s="411"/>
      <c r="G5" s="411"/>
      <c r="H5" s="411"/>
      <c r="I5" s="411"/>
      <c r="J5" s="411"/>
      <c r="K5" s="411"/>
      <c r="L5" s="413"/>
      <c r="M5" s="413"/>
      <c r="N5" s="414"/>
    </row>
    <row r="6" spans="1:14" ht="31.5" customHeight="1" thickBot="1" x14ac:dyDescent="0.25">
      <c r="B6" s="138"/>
      <c r="C6" s="39"/>
      <c r="D6" s="459" t="s">
        <v>478</v>
      </c>
      <c r="E6" s="459"/>
      <c r="F6" s="459"/>
      <c r="G6" s="459"/>
      <c r="H6" s="459"/>
      <c r="I6" s="459"/>
      <c r="J6" s="459"/>
      <c r="K6" s="459"/>
      <c r="L6" s="139"/>
      <c r="M6" s="139"/>
      <c r="N6" s="140"/>
    </row>
    <row r="7" spans="1:14" s="29" customFormat="1" ht="37.5" customHeight="1" x14ac:dyDescent="0.2">
      <c r="A7" s="5"/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325" t="s">
        <v>410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59">
        <f t="shared" ref="K8:K35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 t="s">
        <v>347</v>
      </c>
      <c r="D9" s="325" t="s">
        <v>393</v>
      </c>
      <c r="E9" s="95" t="s">
        <v>394</v>
      </c>
      <c r="F9" s="360"/>
      <c r="G9" s="72">
        <v>15</v>
      </c>
      <c r="H9" s="326">
        <v>471.46640000000002</v>
      </c>
      <c r="I9" s="327">
        <f t="shared" ref="I9:I35" si="2">ROUND(G9*H9,2)</f>
        <v>7072</v>
      </c>
      <c r="J9" s="358">
        <f t="shared" ref="J9:J12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59">
        <f t="shared" si="1"/>
        <v>707.16</v>
      </c>
      <c r="L9" s="328">
        <f t="shared" ref="L9:L35" si="4">K9</f>
        <v>707.16</v>
      </c>
      <c r="M9" s="328">
        <f t="shared" ref="M9:M35" si="5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 t="s">
        <v>347</v>
      </c>
      <c r="D10" s="325" t="s">
        <v>396</v>
      </c>
      <c r="E10" s="95" t="s">
        <v>397</v>
      </c>
      <c r="F10" s="360"/>
      <c r="G10" s="72">
        <v>15</v>
      </c>
      <c r="H10" s="326">
        <v>393.733</v>
      </c>
      <c r="I10" s="327">
        <f t="shared" si="2"/>
        <v>5906</v>
      </c>
      <c r="J10" s="358">
        <f t="shared" si="3"/>
        <v>0</v>
      </c>
      <c r="K10" s="359">
        <f t="shared" si="1"/>
        <v>507.37</v>
      </c>
      <c r="L10" s="328">
        <f t="shared" si="4"/>
        <v>507.37</v>
      </c>
      <c r="M10" s="328">
        <f t="shared" si="5"/>
        <v>5398.63</v>
      </c>
      <c r="N10" s="329"/>
    </row>
    <row r="11" spans="1:14" s="29" customFormat="1" ht="30" customHeight="1" x14ac:dyDescent="0.2">
      <c r="A11" s="5"/>
      <c r="B11" s="323">
        <v>4</v>
      </c>
      <c r="C11" s="324"/>
      <c r="D11" s="325" t="s">
        <v>398</v>
      </c>
      <c r="E11" s="95" t="s">
        <v>397</v>
      </c>
      <c r="F11" s="360"/>
      <c r="G11" s="72">
        <v>15</v>
      </c>
      <c r="H11" s="326">
        <v>393.733</v>
      </c>
      <c r="I11" s="327">
        <f t="shared" si="2"/>
        <v>5906</v>
      </c>
      <c r="J11" s="358">
        <f t="shared" si="3"/>
        <v>0</v>
      </c>
      <c r="K11" s="359">
        <f t="shared" si="1"/>
        <v>507.37</v>
      </c>
      <c r="L11" s="328">
        <f t="shared" si="4"/>
        <v>507.37</v>
      </c>
      <c r="M11" s="328">
        <f t="shared" si="5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/>
      <c r="D12" s="325" t="s">
        <v>399</v>
      </c>
      <c r="E12" s="95" t="s">
        <v>395</v>
      </c>
      <c r="F12" s="360"/>
      <c r="G12" s="72">
        <v>15</v>
      </c>
      <c r="H12" s="326">
        <v>340</v>
      </c>
      <c r="I12" s="327">
        <f t="shared" si="2"/>
        <v>5100</v>
      </c>
      <c r="J12" s="358">
        <f t="shared" si="3"/>
        <v>0</v>
      </c>
      <c r="K12" s="359">
        <f t="shared" si="1"/>
        <v>398.42</v>
      </c>
      <c r="L12" s="328">
        <f t="shared" si="4"/>
        <v>398.42</v>
      </c>
      <c r="M12" s="328">
        <f t="shared" si="5"/>
        <v>4701.58</v>
      </c>
      <c r="N12" s="329"/>
    </row>
    <row r="13" spans="1:14" s="84" customFormat="1" ht="30" customHeight="1" x14ac:dyDescent="0.2">
      <c r="A13" s="5"/>
      <c r="B13" s="323">
        <v>6</v>
      </c>
      <c r="C13" s="324" t="s">
        <v>347</v>
      </c>
      <c r="D13" s="325" t="s">
        <v>400</v>
      </c>
      <c r="E13" s="95" t="s">
        <v>395</v>
      </c>
      <c r="F13" s="360"/>
      <c r="G13" s="72">
        <v>15</v>
      </c>
      <c r="H13" s="326">
        <v>340</v>
      </c>
      <c r="I13" s="327">
        <f t="shared" si="2"/>
        <v>5100</v>
      </c>
      <c r="J13" s="358">
        <f t="shared" ref="J13:J21" si="6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59">
        <f t="shared" si="1"/>
        <v>398.42</v>
      </c>
      <c r="L13" s="328">
        <f t="shared" si="4"/>
        <v>398.42</v>
      </c>
      <c r="M13" s="328">
        <f t="shared" si="5"/>
        <v>4701.58</v>
      </c>
      <c r="N13" s="329"/>
    </row>
    <row r="14" spans="1:14" ht="30" customHeight="1" x14ac:dyDescent="0.2">
      <c r="B14" s="323">
        <v>7</v>
      </c>
      <c r="C14" s="324" t="s">
        <v>347</v>
      </c>
      <c r="D14" s="325" t="s">
        <v>401</v>
      </c>
      <c r="E14" s="95" t="s">
        <v>395</v>
      </c>
      <c r="F14" s="360"/>
      <c r="G14" s="72">
        <v>15</v>
      </c>
      <c r="H14" s="326">
        <v>340</v>
      </c>
      <c r="I14" s="327">
        <f t="shared" si="2"/>
        <v>5100</v>
      </c>
      <c r="J14" s="358">
        <f t="shared" si="6"/>
        <v>0</v>
      </c>
      <c r="K14" s="359">
        <f t="shared" si="1"/>
        <v>398.42</v>
      </c>
      <c r="L14" s="328">
        <f t="shared" si="4"/>
        <v>398.42</v>
      </c>
      <c r="M14" s="328">
        <f t="shared" si="5"/>
        <v>4701.58</v>
      </c>
      <c r="N14" s="329"/>
    </row>
    <row r="15" spans="1:14" s="29" customFormat="1" ht="30" customHeight="1" x14ac:dyDescent="0.2">
      <c r="A15" s="5"/>
      <c r="B15" s="323">
        <v>8</v>
      </c>
      <c r="C15" s="324"/>
      <c r="D15" s="325" t="s">
        <v>402</v>
      </c>
      <c r="E15" s="95" t="s">
        <v>395</v>
      </c>
      <c r="F15" s="360"/>
      <c r="G15" s="72">
        <v>15</v>
      </c>
      <c r="H15" s="326">
        <v>340</v>
      </c>
      <c r="I15" s="327">
        <f t="shared" si="2"/>
        <v>5100</v>
      </c>
      <c r="J15" s="358">
        <f t="shared" si="6"/>
        <v>0</v>
      </c>
      <c r="K15" s="359">
        <f t="shared" si="1"/>
        <v>398.42</v>
      </c>
      <c r="L15" s="328">
        <f t="shared" si="4"/>
        <v>398.42</v>
      </c>
      <c r="M15" s="328">
        <f t="shared" si="5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 t="s">
        <v>347</v>
      </c>
      <c r="D16" s="325" t="s">
        <v>403</v>
      </c>
      <c r="E16" s="95" t="s">
        <v>404</v>
      </c>
      <c r="F16" s="361"/>
      <c r="G16" s="64">
        <v>15</v>
      </c>
      <c r="H16" s="330">
        <v>220.8664</v>
      </c>
      <c r="I16" s="327">
        <f t="shared" si="2"/>
        <v>3313</v>
      </c>
      <c r="J16" s="358">
        <f t="shared" si="6"/>
        <v>0</v>
      </c>
      <c r="K16" s="359">
        <f t="shared" si="1"/>
        <v>0</v>
      </c>
      <c r="L16" s="328">
        <f t="shared" si="4"/>
        <v>0</v>
      </c>
      <c r="M16" s="328">
        <f t="shared" si="5"/>
        <v>3313</v>
      </c>
      <c r="N16" s="329"/>
    </row>
    <row r="17" spans="1:14" s="29" customFormat="1" ht="30" customHeight="1" x14ac:dyDescent="0.2">
      <c r="A17" s="5"/>
      <c r="B17" s="323">
        <v>10</v>
      </c>
      <c r="C17" s="324"/>
      <c r="D17" s="325" t="s">
        <v>405</v>
      </c>
      <c r="E17" s="95" t="s">
        <v>406</v>
      </c>
      <c r="F17" s="72"/>
      <c r="G17" s="72">
        <v>15</v>
      </c>
      <c r="H17" s="326">
        <v>340</v>
      </c>
      <c r="I17" s="327">
        <f t="shared" si="2"/>
        <v>5100</v>
      </c>
      <c r="J17" s="358">
        <f t="shared" si="6"/>
        <v>0</v>
      </c>
      <c r="K17" s="359">
        <f t="shared" si="1"/>
        <v>398.42</v>
      </c>
      <c r="L17" s="328">
        <f t="shared" si="4"/>
        <v>398.42</v>
      </c>
      <c r="M17" s="328">
        <f t="shared" si="5"/>
        <v>4701.58</v>
      </c>
      <c r="N17" s="329"/>
    </row>
    <row r="18" spans="1:14" s="29" customFormat="1" ht="30" customHeight="1" x14ac:dyDescent="0.2">
      <c r="A18" s="5"/>
      <c r="B18" s="323">
        <v>11</v>
      </c>
      <c r="C18" s="324" t="s">
        <v>347</v>
      </c>
      <c r="D18" s="325" t="s">
        <v>407</v>
      </c>
      <c r="E18" s="95" t="s">
        <v>395</v>
      </c>
      <c r="F18" s="72"/>
      <c r="G18" s="72">
        <v>15</v>
      </c>
      <c r="H18" s="326">
        <v>340</v>
      </c>
      <c r="I18" s="327">
        <f t="shared" si="2"/>
        <v>5100</v>
      </c>
      <c r="J18" s="358">
        <f t="shared" si="6"/>
        <v>0</v>
      </c>
      <c r="K18" s="359">
        <f t="shared" si="1"/>
        <v>398.42</v>
      </c>
      <c r="L18" s="328">
        <f t="shared" si="4"/>
        <v>398.42</v>
      </c>
      <c r="M18" s="328">
        <f t="shared" si="5"/>
        <v>4701.58</v>
      </c>
      <c r="N18" s="329"/>
    </row>
    <row r="19" spans="1:14" ht="30" customHeight="1" x14ac:dyDescent="0.2">
      <c r="B19" s="323">
        <v>12</v>
      </c>
      <c r="C19" s="324"/>
      <c r="D19" s="331" t="s">
        <v>408</v>
      </c>
      <c r="E19" s="95" t="s">
        <v>395</v>
      </c>
      <c r="F19" s="360"/>
      <c r="G19" s="72">
        <v>15</v>
      </c>
      <c r="H19" s="326">
        <v>340</v>
      </c>
      <c r="I19" s="327">
        <f t="shared" si="2"/>
        <v>5100</v>
      </c>
      <c r="J19" s="358">
        <f t="shared" si="6"/>
        <v>0</v>
      </c>
      <c r="K19" s="359">
        <f t="shared" si="1"/>
        <v>398.42</v>
      </c>
      <c r="L19" s="328">
        <f t="shared" si="4"/>
        <v>398.42</v>
      </c>
      <c r="M19" s="328">
        <f t="shared" si="5"/>
        <v>4701.58</v>
      </c>
      <c r="N19" s="329"/>
    </row>
    <row r="20" spans="1:14" ht="30" customHeight="1" x14ac:dyDescent="0.2">
      <c r="B20" s="323">
        <v>13</v>
      </c>
      <c r="C20" s="324" t="s">
        <v>347</v>
      </c>
      <c r="D20" s="331" t="s">
        <v>454</v>
      </c>
      <c r="E20" s="95" t="s">
        <v>395</v>
      </c>
      <c r="F20" s="360"/>
      <c r="G20" s="72">
        <v>15</v>
      </c>
      <c r="H20" s="326">
        <v>340</v>
      </c>
      <c r="I20" s="327">
        <f t="shared" si="2"/>
        <v>5100</v>
      </c>
      <c r="J20" s="358">
        <f t="shared" si="6"/>
        <v>0</v>
      </c>
      <c r="K20" s="359">
        <f t="shared" si="1"/>
        <v>398.42</v>
      </c>
      <c r="L20" s="328">
        <f t="shared" si="4"/>
        <v>398.42</v>
      </c>
      <c r="M20" s="328">
        <f t="shared" si="5"/>
        <v>4701.58</v>
      </c>
      <c r="N20" s="329"/>
    </row>
    <row r="21" spans="1:14" ht="30" customHeight="1" x14ac:dyDescent="0.2">
      <c r="B21" s="323">
        <v>14</v>
      </c>
      <c r="C21" s="324" t="s">
        <v>347</v>
      </c>
      <c r="D21" s="331" t="s">
        <v>409</v>
      </c>
      <c r="E21" s="95" t="s">
        <v>395</v>
      </c>
      <c r="F21" s="360"/>
      <c r="G21" s="72">
        <v>15</v>
      </c>
      <c r="H21" s="326">
        <v>340</v>
      </c>
      <c r="I21" s="327">
        <f t="shared" si="2"/>
        <v>5100</v>
      </c>
      <c r="J21" s="358">
        <f t="shared" si="6"/>
        <v>0</v>
      </c>
      <c r="K21" s="359">
        <f t="shared" si="1"/>
        <v>398.42</v>
      </c>
      <c r="L21" s="328">
        <f t="shared" si="4"/>
        <v>398.42</v>
      </c>
      <c r="M21" s="328">
        <f t="shared" si="5"/>
        <v>4701.58</v>
      </c>
      <c r="N21" s="329"/>
    </row>
    <row r="22" spans="1:14" ht="30" customHeight="1" x14ac:dyDescent="0.2">
      <c r="B22" s="323">
        <v>15</v>
      </c>
      <c r="C22" s="324" t="s">
        <v>347</v>
      </c>
      <c r="D22" s="331" t="s">
        <v>473</v>
      </c>
      <c r="E22" s="95" t="s">
        <v>395</v>
      </c>
      <c r="F22" s="360"/>
      <c r="G22" s="72">
        <v>15</v>
      </c>
      <c r="H22" s="326">
        <v>340</v>
      </c>
      <c r="I22" s="327">
        <f t="shared" si="2"/>
        <v>5100</v>
      </c>
      <c r="J22" s="358">
        <f t="shared" ref="J22:J35" si="7"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359">
        <f t="shared" si="1"/>
        <v>398.42</v>
      </c>
      <c r="L22" s="328">
        <f t="shared" si="4"/>
        <v>398.42</v>
      </c>
      <c r="M22" s="328">
        <f t="shared" si="5"/>
        <v>4701.58</v>
      </c>
      <c r="N22" s="329"/>
    </row>
    <row r="23" spans="1:14" ht="30" customHeight="1" x14ac:dyDescent="0.2">
      <c r="B23" s="323">
        <v>16</v>
      </c>
      <c r="C23" s="324"/>
      <c r="D23" s="331" t="s">
        <v>411</v>
      </c>
      <c r="E23" s="95" t="s">
        <v>395</v>
      </c>
      <c r="F23" s="360"/>
      <c r="G23" s="72">
        <v>15</v>
      </c>
      <c r="H23" s="326">
        <v>340</v>
      </c>
      <c r="I23" s="327">
        <f t="shared" si="2"/>
        <v>5100</v>
      </c>
      <c r="J23" s="358">
        <f t="shared" si="7"/>
        <v>0</v>
      </c>
      <c r="K23" s="359">
        <f t="shared" si="1"/>
        <v>398.42</v>
      </c>
      <c r="L23" s="328">
        <f t="shared" si="4"/>
        <v>398.42</v>
      </c>
      <c r="M23" s="328">
        <f t="shared" si="5"/>
        <v>4701.58</v>
      </c>
      <c r="N23" s="329"/>
    </row>
    <row r="24" spans="1:14" s="29" customFormat="1" ht="30" customHeight="1" x14ac:dyDescent="0.2">
      <c r="A24" s="5"/>
      <c r="B24" s="323">
        <v>17</v>
      </c>
      <c r="C24" s="324" t="s">
        <v>347</v>
      </c>
      <c r="D24" s="325" t="s">
        <v>412</v>
      </c>
      <c r="E24" s="95" t="s">
        <v>395</v>
      </c>
      <c r="F24" s="360"/>
      <c r="G24" s="72">
        <v>15</v>
      </c>
      <c r="H24" s="326">
        <v>340</v>
      </c>
      <c r="I24" s="327">
        <f t="shared" si="2"/>
        <v>5100</v>
      </c>
      <c r="J24" s="358">
        <f t="shared" si="7"/>
        <v>0</v>
      </c>
      <c r="K24" s="359">
        <f t="shared" si="1"/>
        <v>398.42</v>
      </c>
      <c r="L24" s="328">
        <f t="shared" si="4"/>
        <v>398.42</v>
      </c>
      <c r="M24" s="328">
        <f t="shared" si="5"/>
        <v>4701.58</v>
      </c>
      <c r="N24" s="329"/>
    </row>
    <row r="25" spans="1:14" s="29" customFormat="1" ht="30" customHeight="1" x14ac:dyDescent="0.2">
      <c r="A25" s="5"/>
      <c r="B25" s="323">
        <v>18</v>
      </c>
      <c r="C25" s="324" t="s">
        <v>347</v>
      </c>
      <c r="D25" s="325" t="s">
        <v>413</v>
      </c>
      <c r="E25" s="95" t="s">
        <v>395</v>
      </c>
      <c r="F25" s="360"/>
      <c r="G25" s="72">
        <v>15</v>
      </c>
      <c r="H25" s="326">
        <v>340</v>
      </c>
      <c r="I25" s="327">
        <f t="shared" si="2"/>
        <v>5100</v>
      </c>
      <c r="J25" s="358">
        <f t="shared" si="7"/>
        <v>0</v>
      </c>
      <c r="K25" s="359">
        <f t="shared" si="1"/>
        <v>398.42</v>
      </c>
      <c r="L25" s="328">
        <f t="shared" si="4"/>
        <v>398.42</v>
      </c>
      <c r="M25" s="328">
        <f t="shared" si="5"/>
        <v>4701.58</v>
      </c>
      <c r="N25" s="329"/>
    </row>
    <row r="26" spans="1:14" s="29" customFormat="1" ht="30" customHeight="1" x14ac:dyDescent="0.2">
      <c r="A26" s="5"/>
      <c r="B26" s="323">
        <v>19</v>
      </c>
      <c r="C26" s="324" t="s">
        <v>347</v>
      </c>
      <c r="D26" s="325" t="s">
        <v>414</v>
      </c>
      <c r="E26" s="95" t="s">
        <v>395</v>
      </c>
      <c r="F26" s="360"/>
      <c r="G26" s="72">
        <v>15</v>
      </c>
      <c r="H26" s="326">
        <v>340</v>
      </c>
      <c r="I26" s="327">
        <f t="shared" si="2"/>
        <v>5100</v>
      </c>
      <c r="J26" s="358">
        <f t="shared" si="7"/>
        <v>0</v>
      </c>
      <c r="K26" s="359">
        <f t="shared" si="1"/>
        <v>398.42</v>
      </c>
      <c r="L26" s="328">
        <f t="shared" si="4"/>
        <v>398.42</v>
      </c>
      <c r="M26" s="328">
        <f t="shared" si="5"/>
        <v>4701.58</v>
      </c>
      <c r="N26" s="329"/>
    </row>
    <row r="27" spans="1:14" s="29" customFormat="1" ht="30" customHeight="1" x14ac:dyDescent="0.2">
      <c r="A27" s="5"/>
      <c r="B27" s="323">
        <v>20</v>
      </c>
      <c r="C27" s="324" t="s">
        <v>347</v>
      </c>
      <c r="D27" s="325" t="s">
        <v>415</v>
      </c>
      <c r="E27" s="95" t="s">
        <v>395</v>
      </c>
      <c r="F27" s="360"/>
      <c r="G27" s="72">
        <v>15</v>
      </c>
      <c r="H27" s="326">
        <v>340</v>
      </c>
      <c r="I27" s="327">
        <f t="shared" si="2"/>
        <v>5100</v>
      </c>
      <c r="J27" s="358">
        <f t="shared" si="7"/>
        <v>0</v>
      </c>
      <c r="K27" s="359">
        <f t="shared" si="1"/>
        <v>398.42</v>
      </c>
      <c r="L27" s="328">
        <f t="shared" si="4"/>
        <v>398.42</v>
      </c>
      <c r="M27" s="328">
        <f t="shared" si="5"/>
        <v>4701.58</v>
      </c>
      <c r="N27" s="329"/>
    </row>
    <row r="28" spans="1:14" s="29" customFormat="1" ht="30" customHeight="1" x14ac:dyDescent="0.2">
      <c r="A28" s="5"/>
      <c r="B28" s="323">
        <v>21</v>
      </c>
      <c r="C28" s="324"/>
      <c r="D28" s="325" t="s">
        <v>416</v>
      </c>
      <c r="E28" s="95" t="s">
        <v>395</v>
      </c>
      <c r="F28" s="360"/>
      <c r="G28" s="72">
        <v>15</v>
      </c>
      <c r="H28" s="326">
        <v>340</v>
      </c>
      <c r="I28" s="327">
        <f t="shared" si="2"/>
        <v>5100</v>
      </c>
      <c r="J28" s="358">
        <f t="shared" si="7"/>
        <v>0</v>
      </c>
      <c r="K28" s="359">
        <f t="shared" si="1"/>
        <v>398.42</v>
      </c>
      <c r="L28" s="328">
        <f t="shared" si="4"/>
        <v>398.42</v>
      </c>
      <c r="M28" s="328">
        <f t="shared" si="5"/>
        <v>4701.58</v>
      </c>
      <c r="N28" s="329"/>
    </row>
    <row r="29" spans="1:14" s="29" customFormat="1" ht="30" customHeight="1" x14ac:dyDescent="0.2">
      <c r="A29" s="5"/>
      <c r="B29" s="323">
        <v>22</v>
      </c>
      <c r="C29" s="324" t="s">
        <v>347</v>
      </c>
      <c r="D29" s="325" t="s">
        <v>417</v>
      </c>
      <c r="E29" s="95" t="s">
        <v>395</v>
      </c>
      <c r="F29" s="360"/>
      <c r="G29" s="72">
        <v>15</v>
      </c>
      <c r="H29" s="326">
        <v>340</v>
      </c>
      <c r="I29" s="327">
        <f t="shared" si="2"/>
        <v>5100</v>
      </c>
      <c r="J29" s="358">
        <f t="shared" si="7"/>
        <v>0</v>
      </c>
      <c r="K29" s="359">
        <f t="shared" si="1"/>
        <v>398.42</v>
      </c>
      <c r="L29" s="328">
        <f t="shared" si="4"/>
        <v>398.42</v>
      </c>
      <c r="M29" s="328">
        <f t="shared" si="5"/>
        <v>4701.58</v>
      </c>
      <c r="N29" s="329"/>
    </row>
    <row r="30" spans="1:14" s="29" customFormat="1" ht="30" customHeight="1" x14ac:dyDescent="0.2">
      <c r="A30" s="5"/>
      <c r="B30" s="323">
        <v>23</v>
      </c>
      <c r="C30" s="324" t="s">
        <v>347</v>
      </c>
      <c r="D30" s="325" t="s">
        <v>418</v>
      </c>
      <c r="E30" s="95" t="s">
        <v>395</v>
      </c>
      <c r="F30" s="360"/>
      <c r="G30" s="72">
        <v>15</v>
      </c>
      <c r="H30" s="326">
        <v>340</v>
      </c>
      <c r="I30" s="327">
        <f t="shared" si="2"/>
        <v>5100</v>
      </c>
      <c r="J30" s="358">
        <f t="shared" si="7"/>
        <v>0</v>
      </c>
      <c r="K30" s="359">
        <f t="shared" si="1"/>
        <v>398.42</v>
      </c>
      <c r="L30" s="328">
        <f t="shared" si="4"/>
        <v>398.42</v>
      </c>
      <c r="M30" s="328">
        <f t="shared" si="5"/>
        <v>4701.58</v>
      </c>
      <c r="N30" s="329"/>
    </row>
    <row r="31" spans="1:14" s="29" customFormat="1" ht="30" customHeight="1" x14ac:dyDescent="0.2">
      <c r="A31" s="5"/>
      <c r="B31" s="323">
        <v>24</v>
      </c>
      <c r="C31" s="324" t="s">
        <v>347</v>
      </c>
      <c r="D31" s="325" t="s">
        <v>459</v>
      </c>
      <c r="E31" s="95" t="s">
        <v>395</v>
      </c>
      <c r="F31" s="360"/>
      <c r="G31" s="72">
        <v>15</v>
      </c>
      <c r="H31" s="326">
        <v>340</v>
      </c>
      <c r="I31" s="327">
        <f t="shared" ref="I31" si="8">ROUND(G31*H31,2)</f>
        <v>5100</v>
      </c>
      <c r="J31" s="358">
        <f t="shared" ref="J31" si="9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359">
        <f t="shared" ref="K31" si="10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8">
        <f t="shared" ref="L31" si="11">K31</f>
        <v>398.42</v>
      </c>
      <c r="M31" s="328">
        <f t="shared" ref="M31" si="12">I31+J31-L31</f>
        <v>4701.58</v>
      </c>
      <c r="N31" s="329"/>
    </row>
    <row r="32" spans="1:14" s="29" customFormat="1" ht="30" customHeight="1" x14ac:dyDescent="0.2">
      <c r="A32" s="5"/>
      <c r="B32" s="323">
        <v>25</v>
      </c>
      <c r="C32" s="324" t="s">
        <v>347</v>
      </c>
      <c r="D32" s="325" t="s">
        <v>463</v>
      </c>
      <c r="E32" s="95" t="s">
        <v>395</v>
      </c>
      <c r="F32" s="360"/>
      <c r="G32" s="72">
        <v>15</v>
      </c>
      <c r="H32" s="326">
        <v>340</v>
      </c>
      <c r="I32" s="327">
        <f t="shared" ref="I32" si="13">ROUND(G32*H32,2)</f>
        <v>5100</v>
      </c>
      <c r="J32" s="358">
        <f t="shared" ref="J32" si="14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59">
        <f t="shared" ref="K32" si="15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" si="16">K32</f>
        <v>398.42</v>
      </c>
      <c r="M32" s="328">
        <f t="shared" ref="M32" si="17">I32+J32-L32</f>
        <v>4701.58</v>
      </c>
      <c r="N32" s="329"/>
    </row>
    <row r="33" spans="1:16" s="29" customFormat="1" ht="30" customHeight="1" x14ac:dyDescent="0.2">
      <c r="A33" s="5"/>
      <c r="B33" s="323">
        <v>26</v>
      </c>
      <c r="C33" s="324"/>
      <c r="D33" s="325" t="s">
        <v>464</v>
      </c>
      <c r="E33" s="95" t="s">
        <v>395</v>
      </c>
      <c r="F33" s="360"/>
      <c r="G33" s="72">
        <v>15</v>
      </c>
      <c r="H33" s="326">
        <v>340</v>
      </c>
      <c r="I33" s="327">
        <f t="shared" ref="I33" si="18">ROUND(G33*H33,2)</f>
        <v>5100</v>
      </c>
      <c r="J33" s="358">
        <f t="shared" ref="J33" si="19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359">
        <f t="shared" ref="K33" si="20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21">K33</f>
        <v>398.42</v>
      </c>
      <c r="M33" s="328">
        <f t="shared" ref="M33" si="22">I33+J33-L33</f>
        <v>4701.58</v>
      </c>
      <c r="N33" s="329"/>
    </row>
    <row r="34" spans="1:16" s="29" customFormat="1" ht="30" customHeight="1" x14ac:dyDescent="0.2">
      <c r="A34" s="5"/>
      <c r="B34" s="323">
        <v>27</v>
      </c>
      <c r="C34" s="324"/>
      <c r="D34" s="325" t="s">
        <v>471</v>
      </c>
      <c r="E34" s="95" t="s">
        <v>395</v>
      </c>
      <c r="F34" s="360"/>
      <c r="G34" s="72">
        <v>15</v>
      </c>
      <c r="H34" s="326">
        <v>340</v>
      </c>
      <c r="I34" s="327">
        <f t="shared" ref="I34" si="23">ROUND(G34*H34,2)</f>
        <v>5100</v>
      </c>
      <c r="J34" s="358">
        <f t="shared" ref="J34" si="24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59">
        <f t="shared" ref="K34" si="25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26">K34</f>
        <v>398.42</v>
      </c>
      <c r="M34" s="328">
        <f t="shared" ref="M34" si="27">I34+J34-L34</f>
        <v>4701.58</v>
      </c>
      <c r="N34" s="329"/>
    </row>
    <row r="35" spans="1:16" s="29" customFormat="1" ht="30" customHeight="1" x14ac:dyDescent="0.2">
      <c r="A35" s="5" t="s">
        <v>28</v>
      </c>
      <c r="B35" s="323">
        <v>28</v>
      </c>
      <c r="C35" s="324"/>
      <c r="D35" s="325" t="s">
        <v>419</v>
      </c>
      <c r="E35" s="95" t="s">
        <v>54</v>
      </c>
      <c r="F35" s="360"/>
      <c r="G35" s="64">
        <v>15</v>
      </c>
      <c r="H35" s="330">
        <v>104.733</v>
      </c>
      <c r="I35" s="327">
        <f t="shared" si="2"/>
        <v>1571</v>
      </c>
      <c r="J35" s="358">
        <f t="shared" si="7"/>
        <v>116.58</v>
      </c>
      <c r="K35" s="358">
        <f t="shared" si="1"/>
        <v>0</v>
      </c>
      <c r="L35" s="328">
        <f t="shared" si="4"/>
        <v>0</v>
      </c>
      <c r="M35" s="328">
        <f t="shared" si="5"/>
        <v>1687.58</v>
      </c>
      <c r="N35" s="329"/>
    </row>
    <row r="36" spans="1:16" ht="24" customHeight="1" x14ac:dyDescent="0.2">
      <c r="B36" s="137"/>
      <c r="C36" s="39"/>
      <c r="E36" s="136"/>
      <c r="F36" s="332"/>
      <c r="G36" s="332"/>
      <c r="H36" s="332"/>
      <c r="I36" s="333"/>
      <c r="J36" s="334"/>
      <c r="K36" s="333"/>
      <c r="L36" s="333"/>
      <c r="M36" s="333"/>
      <c r="N36" s="335"/>
    </row>
    <row r="37" spans="1:16" ht="24" customHeight="1" thickBot="1" x14ac:dyDescent="0.25">
      <c r="B37" s="460" t="s">
        <v>17</v>
      </c>
      <c r="C37" s="436"/>
      <c r="D37" s="436"/>
      <c r="E37" s="436"/>
      <c r="F37" s="436"/>
      <c r="G37" s="436"/>
      <c r="H37" s="437"/>
      <c r="I37" s="336">
        <f>SUM(I8:I36)</f>
        <v>145539</v>
      </c>
      <c r="J37" s="337">
        <f>SUM(J8:J36)</f>
        <v>116.58</v>
      </c>
      <c r="K37" s="336">
        <f>SUM(K8:K36)</f>
        <v>11708.480000000001</v>
      </c>
      <c r="L37" s="336">
        <f>SUM(L8:L36)</f>
        <v>11708.480000000001</v>
      </c>
      <c r="M37" s="336">
        <f>SUM(M8:M35)</f>
        <v>133947.1</v>
      </c>
      <c r="N37" s="338"/>
    </row>
    <row r="38" spans="1:16" ht="24" customHeight="1" thickTop="1" x14ac:dyDescent="0.2">
      <c r="B38" s="137"/>
      <c r="C38" s="39"/>
      <c r="E38" s="136"/>
      <c r="F38" s="332"/>
      <c r="G38" s="332"/>
      <c r="H38" s="332"/>
      <c r="I38" s="332"/>
      <c r="J38" s="339"/>
      <c r="K38" s="332"/>
      <c r="L38" s="340"/>
      <c r="M38" s="332"/>
      <c r="N38" s="341"/>
    </row>
    <row r="39" spans="1:16" x14ac:dyDescent="0.2">
      <c r="B39" s="91"/>
      <c r="M39" s="342"/>
      <c r="N39" s="126"/>
    </row>
    <row r="40" spans="1:16" x14ac:dyDescent="0.2">
      <c r="B40" s="91"/>
      <c r="N40" s="126"/>
    </row>
    <row r="41" spans="1:16" x14ac:dyDescent="0.2">
      <c r="B41" s="91"/>
      <c r="N41" s="126"/>
    </row>
    <row r="42" spans="1:16" ht="18.75" customHeight="1" x14ac:dyDescent="0.2">
      <c r="B42" s="91"/>
      <c r="C42" s="387" t="s">
        <v>480</v>
      </c>
      <c r="D42" s="387"/>
      <c r="E42" s="5"/>
      <c r="F42" s="5"/>
      <c r="G42" s="5"/>
      <c r="H42" s="5"/>
      <c r="I42" s="32"/>
      <c r="J42" s="32"/>
      <c r="K42" s="48"/>
      <c r="L42" s="387" t="s">
        <v>289</v>
      </c>
      <c r="M42" s="387"/>
      <c r="N42" s="461"/>
    </row>
    <row r="43" spans="1:16" ht="19.5" customHeight="1" thickBot="1" x14ac:dyDescent="0.25">
      <c r="B43" s="92"/>
      <c r="C43" s="93"/>
      <c r="D43" s="368" t="s">
        <v>127</v>
      </c>
      <c r="E43" s="368"/>
      <c r="F43" s="93"/>
      <c r="G43" s="93"/>
      <c r="H43" s="93"/>
      <c r="I43" s="94"/>
      <c r="J43" s="94"/>
      <c r="K43" s="59"/>
      <c r="L43" s="397" t="s">
        <v>290</v>
      </c>
      <c r="M43" s="397"/>
      <c r="N43" s="398"/>
    </row>
    <row r="45" spans="1:16" x14ac:dyDescent="0.2">
      <c r="P45" s="314">
        <v>233266.39000000004</v>
      </c>
    </row>
    <row r="46" spans="1:16" x14ac:dyDescent="0.2">
      <c r="L46" s="25" t="s">
        <v>90</v>
      </c>
      <c r="M46" s="342">
        <f>M9+M10+M13+M14+M16+M18+M20+M21+M22+M24+M25+M26+M27+M29+M30+M31+M32</f>
        <v>80898.590000000026</v>
      </c>
    </row>
    <row r="48" spans="1:16" x14ac:dyDescent="0.2">
      <c r="L48" s="25" t="s">
        <v>91</v>
      </c>
      <c r="M48" s="342">
        <f>M8+M11+M12+M15+M17+M19+M23+M28+M33+M34+M35</f>
        <v>53048.510000000017</v>
      </c>
    </row>
    <row r="49" spans="12:13" x14ac:dyDescent="0.2">
      <c r="M49" s="342">
        <f>M48+M46</f>
        <v>133947.10000000003</v>
      </c>
    </row>
    <row r="51" spans="12:13" x14ac:dyDescent="0.2">
      <c r="L51" s="25" t="s">
        <v>298</v>
      </c>
      <c r="M51" s="342">
        <f>M49-M37</f>
        <v>0</v>
      </c>
    </row>
  </sheetData>
  <autoFilter ref="F1:F51" xr:uid="{00000000-0009-0000-0000-000006000000}"/>
  <mergeCells count="8">
    <mergeCell ref="L43:N43"/>
    <mergeCell ref="E2:K2"/>
    <mergeCell ref="E5:K5"/>
    <mergeCell ref="L5:N5"/>
    <mergeCell ref="D6:K6"/>
    <mergeCell ref="B37:H37"/>
    <mergeCell ref="L42:N42"/>
    <mergeCell ref="C42:D42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411" t="s">
        <v>294</v>
      </c>
      <c r="F2" s="411"/>
      <c r="G2" s="411"/>
      <c r="H2" s="411"/>
      <c r="I2" s="411"/>
      <c r="J2" s="411"/>
      <c r="K2" s="411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411" t="s">
        <v>420</v>
      </c>
      <c r="F4" s="411"/>
      <c r="G4" s="411"/>
      <c r="H4" s="411"/>
      <c r="I4" s="411"/>
      <c r="J4" s="411"/>
      <c r="K4" s="411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478</v>
      </c>
      <c r="F5" s="356"/>
      <c r="G5" s="356"/>
      <c r="H5" s="356"/>
      <c r="I5" s="356"/>
      <c r="J5" s="356"/>
      <c r="K5" s="356"/>
      <c r="L5" s="413"/>
      <c r="M5" s="413"/>
      <c r="N5" s="414"/>
    </row>
    <row r="6" spans="1:14" ht="30" customHeight="1" thickBot="1" x14ac:dyDescent="0.25">
      <c r="B6" s="138"/>
      <c r="C6" s="47"/>
      <c r="D6" s="464" t="s">
        <v>421</v>
      </c>
      <c r="E6" s="464"/>
      <c r="F6" s="464"/>
      <c r="G6" s="464"/>
      <c r="H6" s="464"/>
      <c r="I6" s="464"/>
      <c r="J6" s="464"/>
      <c r="K6" s="139"/>
      <c r="L6" s="139"/>
      <c r="M6" s="139"/>
      <c r="N6" s="140"/>
    </row>
    <row r="7" spans="1:14" ht="41.25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254" t="s">
        <v>422</v>
      </c>
      <c r="E8" s="343" t="s">
        <v>35</v>
      </c>
      <c r="F8" s="38"/>
      <c r="G8" s="245">
        <v>15</v>
      </c>
      <c r="H8" s="344">
        <v>550</v>
      </c>
      <c r="I8" s="345">
        <f t="shared" ref="I8:I29" si="0">ROUND(G8*H8,2)</f>
        <v>8250</v>
      </c>
      <c r="J8" s="346">
        <v>0</v>
      </c>
      <c r="K8" s="344">
        <f t="shared" ref="K8:K29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347</v>
      </c>
      <c r="D9" s="254" t="s">
        <v>423</v>
      </c>
      <c r="E9" s="254" t="s">
        <v>424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7" si="2">K9</f>
        <v>478.25</v>
      </c>
      <c r="M9" s="344">
        <f t="shared" ref="M9:M27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347</v>
      </c>
      <c r="D10" s="254" t="s">
        <v>425</v>
      </c>
      <c r="E10" s="254" t="s">
        <v>424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347</v>
      </c>
      <c r="D11" s="254" t="s">
        <v>426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461</v>
      </c>
      <c r="E12" s="254" t="s">
        <v>458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427</v>
      </c>
      <c r="E13" s="254" t="s">
        <v>428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f t="shared" ref="J13:J27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347</v>
      </c>
      <c r="D14" s="254" t="s">
        <v>429</v>
      </c>
      <c r="E14" s="254" t="s">
        <v>428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f t="shared" si="5"/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347</v>
      </c>
      <c r="D15" s="254" t="s">
        <v>430</v>
      </c>
      <c r="E15" s="254" t="s">
        <v>428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f t="shared" si="5"/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431</v>
      </c>
      <c r="E16" s="254" t="s">
        <v>428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f t="shared" si="5"/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1:14" ht="30" customHeight="1" x14ac:dyDescent="0.2">
      <c r="B17" s="323">
        <v>10</v>
      </c>
      <c r="C17" s="324" t="s">
        <v>347</v>
      </c>
      <c r="D17" s="254" t="s">
        <v>432</v>
      </c>
      <c r="E17" s="254" t="s">
        <v>428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f t="shared" si="5"/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1:14" ht="30" customHeight="1" x14ac:dyDescent="0.2">
      <c r="B18" s="323">
        <v>11</v>
      </c>
      <c r="C18" s="324"/>
      <c r="D18" s="254" t="s">
        <v>433</v>
      </c>
      <c r="E18" s="254" t="s">
        <v>428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f t="shared" si="5"/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1:14" ht="30" customHeight="1" x14ac:dyDescent="0.2">
      <c r="B19" s="323">
        <v>12</v>
      </c>
      <c r="C19" s="324"/>
      <c r="D19" s="254" t="s">
        <v>434</v>
      </c>
      <c r="E19" s="254" t="s">
        <v>428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f t="shared" si="5"/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1:14" ht="30" customHeight="1" x14ac:dyDescent="0.2">
      <c r="B20" s="323">
        <v>13</v>
      </c>
      <c r="C20" s="324" t="s">
        <v>347</v>
      </c>
      <c r="D20" s="254" t="s">
        <v>435</v>
      </c>
      <c r="E20" s="254" t="s">
        <v>428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f t="shared" si="5"/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1:14" ht="30" customHeight="1" x14ac:dyDescent="0.2">
      <c r="B21" s="323">
        <v>14</v>
      </c>
      <c r="C21" s="324" t="s">
        <v>347</v>
      </c>
      <c r="D21" s="256" t="s">
        <v>436</v>
      </c>
      <c r="E21" s="254" t="s">
        <v>437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f t="shared" si="5"/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1:14" ht="30" customHeight="1" x14ac:dyDescent="0.2">
      <c r="B22" s="323">
        <v>15</v>
      </c>
      <c r="C22" s="324" t="s">
        <v>347</v>
      </c>
      <c r="D22" s="256" t="s">
        <v>453</v>
      </c>
      <c r="E22" s="254" t="s">
        <v>428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f t="shared" si="5"/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1:14" ht="30" customHeight="1" x14ac:dyDescent="0.2">
      <c r="B23" s="323">
        <v>16</v>
      </c>
      <c r="C23" s="324"/>
      <c r="D23" s="256" t="s">
        <v>438</v>
      </c>
      <c r="E23" s="254" t="s">
        <v>428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f t="shared" si="5"/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1:14" ht="30" customHeight="1" x14ac:dyDescent="0.2">
      <c r="B24" s="323">
        <v>17</v>
      </c>
      <c r="C24" s="324"/>
      <c r="D24" s="256" t="s">
        <v>439</v>
      </c>
      <c r="E24" s="254" t="s">
        <v>428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f t="shared" si="5"/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1:14" ht="36.6" customHeight="1" x14ac:dyDescent="0.2">
      <c r="B25" s="323">
        <v>18</v>
      </c>
      <c r="C25" s="324"/>
      <c r="D25" s="256" t="s">
        <v>440</v>
      </c>
      <c r="E25" s="254" t="s">
        <v>428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377.09</v>
      </c>
      <c r="M25" s="344">
        <v>4526.91</v>
      </c>
      <c r="N25" s="347"/>
    </row>
    <row r="26" spans="1:14" ht="30" customHeight="1" x14ac:dyDescent="0.2">
      <c r="B26" s="323">
        <v>19</v>
      </c>
      <c r="C26" s="324"/>
      <c r="D26" s="256" t="s">
        <v>441</v>
      </c>
      <c r="E26" s="254" t="s">
        <v>442</v>
      </c>
      <c r="F26" s="38"/>
      <c r="G26" s="245">
        <v>15</v>
      </c>
      <c r="H26" s="344">
        <v>340</v>
      </c>
      <c r="I26" s="345">
        <f t="shared" si="0"/>
        <v>5100</v>
      </c>
      <c r="J26" s="346">
        <f t="shared" si="5"/>
        <v>0</v>
      </c>
      <c r="K26" s="344">
        <f t="shared" si="1"/>
        <v>398.42</v>
      </c>
      <c r="L26" s="344">
        <f t="shared" si="2"/>
        <v>398.42</v>
      </c>
      <c r="M26" s="344">
        <f t="shared" si="3"/>
        <v>4701.58</v>
      </c>
      <c r="N26" s="347"/>
    </row>
    <row r="27" spans="1:14" ht="29.45" customHeight="1" x14ac:dyDescent="0.2">
      <c r="B27" s="323">
        <v>20</v>
      </c>
      <c r="C27" s="324"/>
      <c r="D27" s="256" t="s">
        <v>443</v>
      </c>
      <c r="E27" s="254" t="s">
        <v>442</v>
      </c>
      <c r="F27" s="38"/>
      <c r="G27" s="245">
        <v>15</v>
      </c>
      <c r="H27" s="344">
        <v>340</v>
      </c>
      <c r="I27" s="345">
        <f t="shared" si="0"/>
        <v>5100</v>
      </c>
      <c r="J27" s="346">
        <f t="shared" si="5"/>
        <v>0</v>
      </c>
      <c r="K27" s="344">
        <f t="shared" si="1"/>
        <v>398.42</v>
      </c>
      <c r="L27" s="344">
        <f t="shared" si="2"/>
        <v>398.42</v>
      </c>
      <c r="M27" s="344">
        <f t="shared" si="3"/>
        <v>4701.58</v>
      </c>
      <c r="N27" s="347"/>
    </row>
    <row r="28" spans="1:14" ht="29.45" customHeight="1" x14ac:dyDescent="0.2">
      <c r="B28" s="323">
        <v>21</v>
      </c>
      <c r="C28" s="324" t="s">
        <v>347</v>
      </c>
      <c r="D28" s="256" t="s">
        <v>444</v>
      </c>
      <c r="E28" s="254" t="s">
        <v>442</v>
      </c>
      <c r="F28" s="38"/>
      <c r="G28" s="245">
        <v>15</v>
      </c>
      <c r="H28" s="344">
        <v>340</v>
      </c>
      <c r="I28" s="345">
        <f t="shared" si="0"/>
        <v>5100</v>
      </c>
      <c r="J28" s="346">
        <v>0</v>
      </c>
      <c r="K28" s="344">
        <f t="shared" si="1"/>
        <v>398.42</v>
      </c>
      <c r="L28" s="344">
        <f>K28</f>
        <v>398.42</v>
      </c>
      <c r="M28" s="344">
        <f>I28+J28-K28</f>
        <v>4701.58</v>
      </c>
      <c r="N28" s="347"/>
    </row>
    <row r="29" spans="1:14" ht="29.45" customHeight="1" x14ac:dyDescent="0.2">
      <c r="B29" s="323">
        <v>22</v>
      </c>
      <c r="C29" s="324" t="s">
        <v>347</v>
      </c>
      <c r="D29" s="256" t="s">
        <v>445</v>
      </c>
      <c r="E29" s="254" t="s">
        <v>442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1:14" ht="18" customHeight="1" x14ac:dyDescent="0.2">
      <c r="B30" s="465"/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7"/>
    </row>
    <row r="31" spans="1:14" ht="18" customHeight="1" x14ac:dyDescent="0.2">
      <c r="B31" s="462" t="s">
        <v>17</v>
      </c>
      <c r="C31" s="437"/>
      <c r="D31" s="432"/>
      <c r="E31" s="432"/>
      <c r="F31" s="432"/>
      <c r="G31" s="432"/>
      <c r="H31" s="432"/>
      <c r="I31" s="348">
        <f>SUM(I8:I29)</f>
        <v>121500</v>
      </c>
      <c r="J31" s="348">
        <f t="shared" ref="J31:L31" si="6">SUM(J8:J29)</f>
        <v>0</v>
      </c>
      <c r="K31" s="348">
        <f t="shared" si="6"/>
        <v>10021.580000000002</v>
      </c>
      <c r="L31" s="348">
        <f t="shared" si="6"/>
        <v>10000.250000000002</v>
      </c>
      <c r="M31" s="348">
        <f>SUM(M8:M29)</f>
        <v>111303.75</v>
      </c>
      <c r="N31" s="349"/>
    </row>
    <row r="32" spans="1:14" ht="18" customHeight="1" x14ac:dyDescent="0.2">
      <c r="A32" s="5" t="s">
        <v>446</v>
      </c>
      <c r="B32" s="319"/>
      <c r="C32" s="320"/>
      <c r="E32" s="332"/>
      <c r="F32" s="134"/>
      <c r="G32" s="134"/>
      <c r="H32" s="134"/>
      <c r="I32" s="134"/>
      <c r="J32" s="321"/>
      <c r="K32" s="134"/>
      <c r="L32" s="134"/>
      <c r="M32" s="134"/>
      <c r="N32" s="351"/>
    </row>
    <row r="33" spans="1:14" ht="12" customHeight="1" x14ac:dyDescent="0.2">
      <c r="A33" s="5" t="s">
        <v>28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352"/>
      <c r="N33" s="353"/>
    </row>
    <row r="34" spans="1:14" x14ac:dyDescent="0.2">
      <c r="B34" s="91"/>
      <c r="N34" s="355"/>
    </row>
    <row r="35" spans="1:14" x14ac:dyDescent="0.2">
      <c r="B35" s="91"/>
      <c r="N35" s="126"/>
    </row>
    <row r="36" spans="1:14" x14ac:dyDescent="0.2">
      <c r="B36" s="91"/>
      <c r="N36" s="126"/>
    </row>
    <row r="37" spans="1:14" ht="13.5" x14ac:dyDescent="0.2">
      <c r="B37" s="91"/>
      <c r="D37" s="367" t="s">
        <v>480</v>
      </c>
      <c r="E37" s="5"/>
      <c r="F37" s="5"/>
      <c r="G37" s="5"/>
      <c r="H37" s="5"/>
      <c r="I37" s="32"/>
      <c r="J37" s="32"/>
      <c r="K37" s="5"/>
      <c r="L37" s="387" t="s">
        <v>289</v>
      </c>
      <c r="M37" s="387"/>
      <c r="N37" s="461"/>
    </row>
    <row r="38" spans="1:14" ht="13.5" thickBot="1" x14ac:dyDescent="0.25">
      <c r="B38" s="92"/>
      <c r="C38" s="93"/>
      <c r="D38" s="463" t="s">
        <v>127</v>
      </c>
      <c r="E38" s="463"/>
      <c r="F38" s="93"/>
      <c r="G38" s="93"/>
      <c r="H38" s="93"/>
      <c r="I38" s="94"/>
      <c r="J38" s="94"/>
      <c r="K38" s="93"/>
      <c r="L38" s="397" t="s">
        <v>290</v>
      </c>
      <c r="M38" s="397"/>
      <c r="N38" s="398"/>
    </row>
    <row r="40" spans="1:14" x14ac:dyDescent="0.2">
      <c r="L40" s="25" t="s">
        <v>90</v>
      </c>
      <c r="M40" s="147">
        <f>M9+M10+M11+M14+M15+M17+M20+M21+M22+M28+M29</f>
        <v>55199.149999999994</v>
      </c>
    </row>
    <row r="42" spans="1:14" x14ac:dyDescent="0.2">
      <c r="L42" s="25" t="s">
        <v>91</v>
      </c>
      <c r="M42" s="147">
        <f>M8+M12+M13+M16+M18+M19+M23+M24+M25+M26+M27</f>
        <v>56104.599999999991</v>
      </c>
    </row>
    <row r="43" spans="1:14" x14ac:dyDescent="0.2">
      <c r="M43" s="147">
        <f>M40+M42</f>
        <v>111303.74999999999</v>
      </c>
    </row>
    <row r="45" spans="1:14" x14ac:dyDescent="0.2">
      <c r="L45" s="25" t="s">
        <v>298</v>
      </c>
      <c r="M45" s="148">
        <f>M31-M43</f>
        <v>0</v>
      </c>
    </row>
  </sheetData>
  <mergeCells count="9">
    <mergeCell ref="B31:H31"/>
    <mergeCell ref="L37:N37"/>
    <mergeCell ref="D38:E38"/>
    <mergeCell ref="L38:N38"/>
    <mergeCell ref="E2:K2"/>
    <mergeCell ref="E4:K4"/>
    <mergeCell ref="L5:N5"/>
    <mergeCell ref="D6:J6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2024-03-20T22:45:44Z</cp:lastPrinted>
  <dcterms:created xsi:type="dcterms:W3CDTF">2000-05-05T04:08:27Z</dcterms:created>
  <dcterms:modified xsi:type="dcterms:W3CDTF">2024-05-27T17:31:04Z</dcterms:modified>
</cp:coreProperties>
</file>